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ranetap-my.sharepoint.com/personal/przemyslaw_dudek1_autopartner_com/Documents/Pulpit/SF/Dane IR na strone/"/>
    </mc:Choice>
  </mc:AlternateContent>
  <xr:revisionPtr revIDLastSave="949" documentId="13_ncr:1_{15BA736E-92B9-4B48-BC1B-5AE04EF3AE7A}" xr6:coauthVersionLast="47" xr6:coauthVersionMax="47" xr10:uidLastSave="{3E9733CA-0165-4C1F-A24D-DAB7689E8FA3}"/>
  <bookViews>
    <workbookView xWindow="11424" yWindow="0" windowWidth="11712" windowHeight="13776" xr2:uid="{00000000-000D-0000-FFFF-FFFF00000000}"/>
  </bookViews>
  <sheets>
    <sheet name="Bilans Grupy AP" sheetId="2" r:id="rId1"/>
    <sheet name="RZiS Grupy AP" sheetId="3" r:id="rId2"/>
    <sheet name="Cash flow Grupy AP" sheetId="4" r:id="rId3"/>
    <sheet name="sprzedaż miesięczna" sheetId="6" r:id="rId4"/>
  </sheets>
  <definedNames>
    <definedName name="_xlnm.Print_Area" localSheetId="1">'RZiS Grupy AP'!$A$1:$Q$25</definedName>
    <definedName name="_xlnm.Print_Area" localSheetId="3">'sprzedaż miesięczna'!$A$1:$AE$18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S17" i="4" l="1"/>
  <c r="AS15" i="4"/>
  <c r="AS30" i="2"/>
  <c r="AS13" i="2"/>
  <c r="AS6" i="4"/>
  <c r="AS19" i="4" s="1"/>
  <c r="AS23" i="4" s="1"/>
  <c r="AS37" i="4"/>
  <c r="AS52" i="4"/>
  <c r="AS55" i="4"/>
  <c r="AS7" i="3"/>
  <c r="AS15" i="3" s="1"/>
  <c r="AS19" i="3" s="1"/>
  <c r="AS21" i="3" s="1"/>
  <c r="AS26" i="3" s="1"/>
  <c r="AS32" i="3" s="1"/>
  <c r="AS22" i="2"/>
  <c r="AS32" i="2"/>
  <c r="AS40" i="2"/>
  <c r="AS53" i="2"/>
  <c r="AR56" i="4"/>
  <c r="AR55" i="4"/>
  <c r="AN55" i="4"/>
  <c r="AR51" i="4"/>
  <c r="AR50" i="4"/>
  <c r="AR49" i="4"/>
  <c r="AR48" i="4"/>
  <c r="AR47" i="4"/>
  <c r="AR46" i="4"/>
  <c r="AR45" i="4"/>
  <c r="AR44" i="4"/>
  <c r="AR43" i="4"/>
  <c r="AR42" i="4"/>
  <c r="AR41" i="4"/>
  <c r="AR40" i="4"/>
  <c r="AR36" i="4"/>
  <c r="AR35" i="4"/>
  <c r="AR34" i="4"/>
  <c r="AR33" i="4"/>
  <c r="AR32" i="4"/>
  <c r="AR31" i="4"/>
  <c r="AR30" i="4"/>
  <c r="AR29" i="4"/>
  <c r="AR28" i="4"/>
  <c r="AR27" i="4"/>
  <c r="AR26" i="4"/>
  <c r="AR21" i="4"/>
  <c r="AR18" i="4"/>
  <c r="AR17" i="4"/>
  <c r="AR16" i="4"/>
  <c r="AR15" i="4"/>
  <c r="AR14" i="4"/>
  <c r="AR13" i="4"/>
  <c r="AR12" i="4"/>
  <c r="AR11" i="4"/>
  <c r="AR10" i="4"/>
  <c r="AR9" i="4"/>
  <c r="AR8" i="4"/>
  <c r="AR7" i="4"/>
  <c r="AR6" i="4" s="1"/>
  <c r="AR5" i="4"/>
  <c r="C17" i="4"/>
  <c r="C6" i="4" s="1"/>
  <c r="C19" i="4" s="1"/>
  <c r="C23" i="4" s="1"/>
  <c r="C15" i="4"/>
  <c r="C52" i="4"/>
  <c r="C37" i="4"/>
  <c r="AR43" i="3"/>
  <c r="AR42" i="3"/>
  <c r="AR39" i="3"/>
  <c r="AR38" i="3"/>
  <c r="AR30" i="3"/>
  <c r="AR24" i="3"/>
  <c r="AR20" i="3"/>
  <c r="AR18" i="3"/>
  <c r="AR17" i="3"/>
  <c r="AR14" i="3"/>
  <c r="AR13" i="3"/>
  <c r="AR12" i="3"/>
  <c r="AR11" i="3"/>
  <c r="AR10" i="3"/>
  <c r="AR9" i="3"/>
  <c r="AR6" i="3"/>
  <c r="AR5" i="3"/>
  <c r="C7" i="3"/>
  <c r="C15" i="3" s="1"/>
  <c r="C19" i="3" s="1"/>
  <c r="C21" i="3" s="1"/>
  <c r="C26" i="3" s="1"/>
  <c r="C32" i="3" s="1"/>
  <c r="AR7" i="3"/>
  <c r="AR15" i="3" s="1"/>
  <c r="AR19" i="3" s="1"/>
  <c r="AR21" i="3" s="1"/>
  <c r="AR44" i="2"/>
  <c r="AR45" i="2"/>
  <c r="AR46" i="2"/>
  <c r="AR47" i="2"/>
  <c r="AR48" i="2"/>
  <c r="AR49" i="2"/>
  <c r="AR50" i="2"/>
  <c r="AR51" i="2"/>
  <c r="AR52" i="2"/>
  <c r="AR43" i="2"/>
  <c r="AR36" i="2"/>
  <c r="AR37" i="2"/>
  <c r="AR38" i="2"/>
  <c r="AR39" i="2"/>
  <c r="AR35" i="2"/>
  <c r="AR30" i="2"/>
  <c r="AR31" i="2"/>
  <c r="AR17" i="2"/>
  <c r="AR18" i="2"/>
  <c r="AR19" i="2"/>
  <c r="AR20" i="2"/>
  <c r="AR21" i="2"/>
  <c r="AR29" i="2"/>
  <c r="AR16" i="2"/>
  <c r="AR8" i="2"/>
  <c r="AR9" i="2"/>
  <c r="AR10" i="2"/>
  <c r="AR11" i="2"/>
  <c r="AR12" i="2"/>
  <c r="AR7" i="2"/>
  <c r="AR13" i="2"/>
  <c r="AR22" i="2"/>
  <c r="AR32" i="2"/>
  <c r="AR53" i="2"/>
  <c r="C30" i="2"/>
  <c r="C32" i="2" s="1"/>
  <c r="C53" i="2"/>
  <c r="C40" i="2"/>
  <c r="C22" i="2"/>
  <c r="C13" i="2"/>
  <c r="AQ34" i="4"/>
  <c r="AQ32" i="4"/>
  <c r="AQ30" i="2"/>
  <c r="AQ32" i="2" s="1"/>
  <c r="AQ7" i="3"/>
  <c r="AQ15" i="3" s="1"/>
  <c r="AQ19" i="3" s="1"/>
  <c r="AQ21" i="3" s="1"/>
  <c r="AQ26" i="3" s="1"/>
  <c r="AQ32" i="3" s="1"/>
  <c r="AQ13" i="2"/>
  <c r="AQ22" i="2"/>
  <c r="AQ40" i="2"/>
  <c r="AQ53" i="2"/>
  <c r="AP56" i="4"/>
  <c r="AQ56" i="4" s="1"/>
  <c r="AP49" i="4"/>
  <c r="AQ49" i="4" s="1"/>
  <c r="AP50" i="4"/>
  <c r="AQ50" i="4" s="1"/>
  <c r="AP44" i="4"/>
  <c r="AQ44" i="4" s="1"/>
  <c r="AP42" i="4"/>
  <c r="AQ42" i="4" s="1"/>
  <c r="AP31" i="4"/>
  <c r="AQ31" i="4" s="1"/>
  <c r="AP27" i="4"/>
  <c r="AQ27" i="4" s="1"/>
  <c r="AP26" i="4"/>
  <c r="AQ26" i="4" s="1"/>
  <c r="AP21" i="4"/>
  <c r="AQ21" i="4" s="1"/>
  <c r="AP18" i="4"/>
  <c r="AQ18" i="4" s="1"/>
  <c r="AP16" i="4"/>
  <c r="AQ16" i="4" s="1"/>
  <c r="AP14" i="4"/>
  <c r="AQ14" i="4" s="1"/>
  <c r="AP10" i="4"/>
  <c r="AQ10" i="4" s="1"/>
  <c r="AP13" i="4"/>
  <c r="AQ13" i="4" s="1"/>
  <c r="AP9" i="4"/>
  <c r="AQ9" i="4" s="1"/>
  <c r="AP8" i="4"/>
  <c r="AQ8" i="4" s="1"/>
  <c r="AP7" i="4"/>
  <c r="AQ7" i="4" s="1"/>
  <c r="AP5" i="4"/>
  <c r="AQ5" i="4" s="1"/>
  <c r="AP30" i="2"/>
  <c r="AS54" i="4" l="1"/>
  <c r="AS57" i="4" s="1"/>
  <c r="AS24" i="2"/>
  <c r="AS55" i="2"/>
  <c r="AS57" i="2" s="1"/>
  <c r="C54" i="4"/>
  <c r="C57" i="4" s="1"/>
  <c r="AR37" i="4"/>
  <c r="AR52" i="4"/>
  <c r="AQ52" i="4"/>
  <c r="AQ37" i="4"/>
  <c r="AR26" i="3"/>
  <c r="AR32" i="3" s="1"/>
  <c r="AR40" i="2"/>
  <c r="AR55" i="2" s="1"/>
  <c r="AR57" i="2" s="1"/>
  <c r="AR24" i="2"/>
  <c r="C55" i="2"/>
  <c r="C57" i="2" s="1"/>
  <c r="C24" i="2"/>
  <c r="AQ55" i="2"/>
  <c r="AQ57" i="2" s="1"/>
  <c r="AQ24" i="2"/>
  <c r="AL7" i="4"/>
  <c r="AP37" i="4"/>
  <c r="AP52" i="4"/>
  <c r="AP7" i="3"/>
  <c r="AP15" i="3" s="1"/>
  <c r="AP19" i="3" s="1"/>
  <c r="AP21" i="3" s="1"/>
  <c r="AP26" i="3" s="1"/>
  <c r="AP32" i="3" s="1"/>
  <c r="AP13" i="2"/>
  <c r="AP22" i="2"/>
  <c r="AP32" i="2"/>
  <c r="AP40" i="2"/>
  <c r="AP53" i="2"/>
  <c r="AO17" i="4"/>
  <c r="AP17" i="4" s="1"/>
  <c r="AQ17" i="4" s="1"/>
  <c r="AO15" i="4"/>
  <c r="AP15" i="4" s="1"/>
  <c r="AQ15" i="4" s="1"/>
  <c r="AR19" i="4" s="1"/>
  <c r="AR23" i="4" s="1"/>
  <c r="AO30" i="2"/>
  <c r="AO32" i="2" s="1"/>
  <c r="AO37" i="4"/>
  <c r="AO52" i="4"/>
  <c r="AO7" i="3"/>
  <c r="AO15" i="3" s="1"/>
  <c r="AO19" i="3" s="1"/>
  <c r="AO21" i="3" s="1"/>
  <c r="AO26" i="3" s="1"/>
  <c r="AO13" i="2"/>
  <c r="AO22" i="2"/>
  <c r="AO40" i="2"/>
  <c r="AO53" i="2"/>
  <c r="D17" i="4"/>
  <c r="D15" i="4"/>
  <c r="D6" i="4" s="1"/>
  <c r="D19" i="4" s="1"/>
  <c r="D23" i="4" s="1"/>
  <c r="AN51" i="4"/>
  <c r="AN48" i="4"/>
  <c r="AN47" i="4"/>
  <c r="AN46" i="4"/>
  <c r="AN45" i="4"/>
  <c r="AN43" i="4"/>
  <c r="AN41" i="4"/>
  <c r="AN40" i="4"/>
  <c r="AN36" i="4"/>
  <c r="AN35" i="4"/>
  <c r="AN33" i="4"/>
  <c r="AN30" i="4"/>
  <c r="AN29" i="4"/>
  <c r="AN14" i="4"/>
  <c r="AN10" i="4"/>
  <c r="D52" i="4"/>
  <c r="D37" i="4"/>
  <c r="AN6" i="3"/>
  <c r="AN5" i="3"/>
  <c r="AN18" i="3"/>
  <c r="AN17" i="3"/>
  <c r="AN14" i="3"/>
  <c r="AN13" i="3"/>
  <c r="AN12" i="3"/>
  <c r="AN43" i="3"/>
  <c r="AN42" i="3"/>
  <c r="AN39" i="3"/>
  <c r="AN38" i="3"/>
  <c r="AN30" i="3"/>
  <c r="AN24" i="3"/>
  <c r="AN20" i="3"/>
  <c r="AN11" i="3"/>
  <c r="AN10" i="3"/>
  <c r="AN9" i="3"/>
  <c r="AJ5" i="3"/>
  <c r="D7" i="3"/>
  <c r="D15" i="3" s="1"/>
  <c r="D19" i="3" s="1"/>
  <c r="D21" i="3" s="1"/>
  <c r="D26" i="3" s="1"/>
  <c r="D32" i="3" s="1"/>
  <c r="D30" i="2"/>
  <c r="D32" i="2" s="1"/>
  <c r="D53" i="2"/>
  <c r="D40" i="2"/>
  <c r="D22" i="2"/>
  <c r="D13" i="2"/>
  <c r="AN52" i="2"/>
  <c r="AN51" i="2"/>
  <c r="AN50" i="2"/>
  <c r="AN49" i="2"/>
  <c r="AN48" i="2"/>
  <c r="AN47" i="2"/>
  <c r="AN46" i="2"/>
  <c r="AN45" i="2"/>
  <c r="AN44" i="2"/>
  <c r="AN43" i="2"/>
  <c r="AN39" i="2"/>
  <c r="AN38" i="2"/>
  <c r="AN37" i="2"/>
  <c r="AN36" i="2"/>
  <c r="AN35" i="2"/>
  <c r="AN31" i="2"/>
  <c r="AN29" i="2"/>
  <c r="AN21" i="2"/>
  <c r="AN20" i="2"/>
  <c r="AN19" i="2"/>
  <c r="AN18" i="2"/>
  <c r="AN17" i="2"/>
  <c r="AN16" i="2"/>
  <c r="AN12" i="2"/>
  <c r="AN11" i="2"/>
  <c r="AN10" i="2"/>
  <c r="AN9" i="2"/>
  <c r="AN8" i="2"/>
  <c r="AN7" i="2"/>
  <c r="AM34" i="4"/>
  <c r="AN34" i="4" s="1"/>
  <c r="AM32" i="4"/>
  <c r="AN32" i="4" s="1"/>
  <c r="AM8" i="4"/>
  <c r="AM30" i="2"/>
  <c r="AM32" i="2" s="1"/>
  <c r="AM7" i="3"/>
  <c r="AM15" i="3" s="1"/>
  <c r="AM19" i="3" s="1"/>
  <c r="AM21" i="3" s="1"/>
  <c r="AM26" i="3" s="1"/>
  <c r="AM32" i="3" s="1"/>
  <c r="AM13" i="2"/>
  <c r="AM22" i="2"/>
  <c r="AM40" i="2"/>
  <c r="AM53" i="2"/>
  <c r="AL56" i="4"/>
  <c r="AM56" i="4" s="1"/>
  <c r="AL50" i="4"/>
  <c r="AM50" i="4" s="1"/>
  <c r="AL49" i="4"/>
  <c r="AM49" i="4" s="1"/>
  <c r="AN49" i="4" s="1"/>
  <c r="AL44" i="4"/>
  <c r="AM44" i="4" s="1"/>
  <c r="AL42" i="4"/>
  <c r="AM42" i="4" s="1"/>
  <c r="AL31" i="4"/>
  <c r="AM31" i="4" s="1"/>
  <c r="AL27" i="4"/>
  <c r="AM27" i="4" s="1"/>
  <c r="AL26" i="4"/>
  <c r="AL21" i="4"/>
  <c r="AM21" i="4" s="1"/>
  <c r="AN21" i="4" s="1"/>
  <c r="AL10" i="4"/>
  <c r="AM10" i="4" s="1"/>
  <c r="AL18" i="4"/>
  <c r="AM18" i="4" s="1"/>
  <c r="AL16" i="4"/>
  <c r="AM16" i="4" s="1"/>
  <c r="AL13" i="4"/>
  <c r="AM13" i="4" s="1"/>
  <c r="AN13" i="4" s="1"/>
  <c r="AL12" i="4"/>
  <c r="AN12" i="4" s="1"/>
  <c r="AL9" i="4"/>
  <c r="AM9" i="4" s="1"/>
  <c r="AN9" i="4" s="1"/>
  <c r="AL8" i="4"/>
  <c r="AM7" i="4"/>
  <c r="AL5" i="4"/>
  <c r="AM5" i="4" s="1"/>
  <c r="AH7" i="4"/>
  <c r="AI7" i="4" s="1"/>
  <c r="AL7" i="3"/>
  <c r="AL15" i="3" s="1"/>
  <c r="AL19" i="3" s="1"/>
  <c r="AL21" i="3" s="1"/>
  <c r="AL26" i="3" s="1"/>
  <c r="AL32" i="3" s="1"/>
  <c r="AL30" i="2"/>
  <c r="AL32" i="2" s="1"/>
  <c r="AL13" i="2"/>
  <c r="AL22" i="2"/>
  <c r="AL40" i="2"/>
  <c r="AL53" i="2"/>
  <c r="AK17" i="4"/>
  <c r="AL17" i="4" s="1"/>
  <c r="AM17" i="4" s="1"/>
  <c r="AK15" i="4"/>
  <c r="AL15" i="4" s="1"/>
  <c r="AM15" i="4" s="1"/>
  <c r="AK37" i="4"/>
  <c r="AK52" i="4"/>
  <c r="AK7" i="3"/>
  <c r="AK15" i="3" s="1"/>
  <c r="AK19" i="3" s="1"/>
  <c r="AK30" i="2"/>
  <c r="AK13" i="2"/>
  <c r="AK22" i="2"/>
  <c r="AK32" i="2"/>
  <c r="AK40" i="2"/>
  <c r="AK53" i="2"/>
  <c r="E17" i="4"/>
  <c r="E15" i="4"/>
  <c r="E52" i="4"/>
  <c r="E37" i="4"/>
  <c r="AJ51" i="4"/>
  <c r="AJ48" i="4"/>
  <c r="AJ47" i="4"/>
  <c r="AJ46" i="4"/>
  <c r="AJ45" i="4"/>
  <c r="AJ43" i="4"/>
  <c r="AJ41" i="4"/>
  <c r="AJ40" i="4"/>
  <c r="AJ36" i="4"/>
  <c r="AJ35" i="4"/>
  <c r="AJ33" i="4"/>
  <c r="AJ30" i="4"/>
  <c r="AJ29" i="4"/>
  <c r="AJ14" i="4"/>
  <c r="AJ12" i="4"/>
  <c r="AB12" i="3"/>
  <c r="AJ43" i="3"/>
  <c r="AJ42" i="3"/>
  <c r="AJ39" i="3"/>
  <c r="AJ38" i="3"/>
  <c r="AJ30" i="3"/>
  <c r="AJ24" i="3"/>
  <c r="AJ20" i="3"/>
  <c r="AJ18" i="3"/>
  <c r="AJ17" i="3"/>
  <c r="AJ14" i="3"/>
  <c r="AJ13" i="3"/>
  <c r="AJ12" i="3"/>
  <c r="AJ11" i="3"/>
  <c r="AJ10" i="3"/>
  <c r="AJ9" i="3"/>
  <c r="AJ6" i="3"/>
  <c r="E7" i="3"/>
  <c r="E15" i="3" s="1"/>
  <c r="E19" i="3" s="1"/>
  <c r="E21" i="3" s="1"/>
  <c r="E26" i="3" s="1"/>
  <c r="E32" i="3" s="1"/>
  <c r="E30" i="2"/>
  <c r="AJ30" i="2" s="1"/>
  <c r="E53" i="2"/>
  <c r="E40" i="2"/>
  <c r="E22" i="2"/>
  <c r="E13" i="2"/>
  <c r="AJ52" i="2"/>
  <c r="AJ51" i="2"/>
  <c r="AJ50" i="2"/>
  <c r="AJ49" i="2"/>
  <c r="AJ48" i="2"/>
  <c r="AJ47" i="2"/>
  <c r="AJ46" i="2"/>
  <c r="AJ45" i="2"/>
  <c r="AJ44" i="2"/>
  <c r="AJ43" i="2"/>
  <c r="AJ39" i="2"/>
  <c r="AJ38" i="2"/>
  <c r="AJ37" i="2"/>
  <c r="AJ36" i="2"/>
  <c r="AJ35" i="2"/>
  <c r="AJ31" i="2"/>
  <c r="AJ29" i="2"/>
  <c r="AJ21" i="2"/>
  <c r="AJ20" i="2"/>
  <c r="AJ19" i="2"/>
  <c r="AJ18" i="2"/>
  <c r="AJ17" i="2"/>
  <c r="AJ16" i="2"/>
  <c r="AJ12" i="2"/>
  <c r="AJ11" i="2"/>
  <c r="AJ10" i="2"/>
  <c r="AJ9" i="2"/>
  <c r="AJ8" i="2"/>
  <c r="AJ7" i="2"/>
  <c r="AI34" i="4"/>
  <c r="AJ34" i="4" s="1"/>
  <c r="AD7" i="4"/>
  <c r="AE7" i="4"/>
  <c r="AI7" i="3"/>
  <c r="AI15" i="3" s="1"/>
  <c r="AI19" i="3" s="1"/>
  <c r="AI21" i="3" s="1"/>
  <c r="AI26" i="3" s="1"/>
  <c r="AI32" i="3" s="1"/>
  <c r="AI30" i="2"/>
  <c r="AI32" i="2" s="1"/>
  <c r="AI13" i="2"/>
  <c r="AI22" i="2"/>
  <c r="AI40" i="2"/>
  <c r="AI53" i="2"/>
  <c r="AH56" i="4"/>
  <c r="AI56" i="4" s="1"/>
  <c r="AH50" i="4"/>
  <c r="AI50" i="4" s="1"/>
  <c r="AH49" i="4"/>
  <c r="AI49" i="4" s="1"/>
  <c r="AH44" i="4"/>
  <c r="AH42" i="4"/>
  <c r="AI42" i="4" s="1"/>
  <c r="AH32" i="4"/>
  <c r="AI32" i="4" s="1"/>
  <c r="AH31" i="4"/>
  <c r="AI31" i="4" s="1"/>
  <c r="AH27" i="4"/>
  <c r="AI27" i="4" s="1"/>
  <c r="AH26" i="4"/>
  <c r="AH21" i="4"/>
  <c r="AI21" i="4" s="1"/>
  <c r="AH18" i="4"/>
  <c r="AI18" i="4" s="1"/>
  <c r="AH16" i="4"/>
  <c r="AI16" i="4" s="1"/>
  <c r="AH13" i="4"/>
  <c r="AI13" i="4" s="1"/>
  <c r="AH10" i="4"/>
  <c r="AI10" i="4" s="1"/>
  <c r="AH9" i="4"/>
  <c r="AI9" i="4" s="1"/>
  <c r="AH8" i="4"/>
  <c r="AI8" i="4" s="1"/>
  <c r="AH5" i="4"/>
  <c r="AI5" i="4" s="1"/>
  <c r="AH7" i="3"/>
  <c r="AH15" i="3" s="1"/>
  <c r="AH19" i="3" s="1"/>
  <c r="AH21" i="3" s="1"/>
  <c r="AH26" i="3" s="1"/>
  <c r="AH32" i="3" s="1"/>
  <c r="AH30" i="2"/>
  <c r="AH32" i="2" s="1"/>
  <c r="AH13" i="2"/>
  <c r="AH22" i="2"/>
  <c r="AH40" i="2"/>
  <c r="AH53" i="2"/>
  <c r="AG17" i="4"/>
  <c r="AH17" i="4" s="1"/>
  <c r="AI17" i="4" s="1"/>
  <c r="AG15" i="4"/>
  <c r="AG37" i="4"/>
  <c r="AG52" i="4"/>
  <c r="AG7" i="3"/>
  <c r="AG15" i="3" s="1"/>
  <c r="AG19" i="3" s="1"/>
  <c r="AG21" i="3" s="1"/>
  <c r="AG26" i="3" s="1"/>
  <c r="AG32" i="3" s="1"/>
  <c r="AG47" i="2"/>
  <c r="AG48" i="2"/>
  <c r="AG49" i="2"/>
  <c r="AG13" i="2"/>
  <c r="AG22" i="2"/>
  <c r="AG32" i="2"/>
  <c r="AG40" i="2"/>
  <c r="AG6" i="4" l="1"/>
  <c r="AG19" i="4" s="1"/>
  <c r="AQ6" i="4"/>
  <c r="AQ19" i="4" s="1"/>
  <c r="AQ23" i="4" s="1"/>
  <c r="AQ54" i="4" s="1"/>
  <c r="AJ7" i="4"/>
  <c r="AJ32" i="4"/>
  <c r="AR54" i="4"/>
  <c r="AJ27" i="4"/>
  <c r="AN8" i="4"/>
  <c r="AN31" i="4"/>
  <c r="E24" i="2"/>
  <c r="D24" i="2"/>
  <c r="AN50" i="4"/>
  <c r="AJ44" i="4"/>
  <c r="AN16" i="4"/>
  <c r="AN18" i="4"/>
  <c r="AM26" i="4"/>
  <c r="AN26" i="4" s="1"/>
  <c r="E6" i="4"/>
  <c r="E19" i="4" s="1"/>
  <c r="E23" i="4" s="1"/>
  <c r="E54" i="4" s="1"/>
  <c r="E57" i="4" s="1"/>
  <c r="AJ5" i="4"/>
  <c r="AN17" i="4"/>
  <c r="AN42" i="4"/>
  <c r="AJ13" i="4"/>
  <c r="AN7" i="4"/>
  <c r="AN44" i="4"/>
  <c r="AI44" i="4"/>
  <c r="AI52" i="4" s="1"/>
  <c r="AN5" i="4"/>
  <c r="AN27" i="4"/>
  <c r="AJ17" i="4"/>
  <c r="AN56" i="4"/>
  <c r="AO6" i="4"/>
  <c r="AO19" i="4" s="1"/>
  <c r="AO23" i="4" s="1"/>
  <c r="AO54" i="4" s="1"/>
  <c r="AP6" i="4"/>
  <c r="AP19" i="4" s="1"/>
  <c r="AP23" i="4" s="1"/>
  <c r="AP54" i="4" s="1"/>
  <c r="AP55" i="2"/>
  <c r="AP57" i="2" s="1"/>
  <c r="AP24" i="2"/>
  <c r="AO32" i="3"/>
  <c r="AO55" i="2"/>
  <c r="AO57" i="2" s="1"/>
  <c r="AO24" i="2"/>
  <c r="D54" i="4"/>
  <c r="D57" i="4" s="1"/>
  <c r="AN15" i="4"/>
  <c r="AM52" i="4"/>
  <c r="AH37" i="4"/>
  <c r="AJ49" i="4"/>
  <c r="AJ16" i="4"/>
  <c r="AJ31" i="4"/>
  <c r="AJ42" i="4"/>
  <c r="AJ50" i="4"/>
  <c r="AJ8" i="4"/>
  <c r="AJ18" i="4"/>
  <c r="AJ56" i="4"/>
  <c r="AK6" i="4"/>
  <c r="AK19" i="4" s="1"/>
  <c r="AK23" i="4" s="1"/>
  <c r="AK54" i="4" s="1"/>
  <c r="AH15" i="4"/>
  <c r="AI15" i="4" s="1"/>
  <c r="AI6" i="4" s="1"/>
  <c r="AI19" i="4" s="1"/>
  <c r="AI23" i="4" s="1"/>
  <c r="AJ10" i="4"/>
  <c r="AJ21" i="4"/>
  <c r="AJ9" i="4"/>
  <c r="AN7" i="3"/>
  <c r="AN15" i="3" s="1"/>
  <c r="AJ7" i="3"/>
  <c r="AJ15" i="3" s="1"/>
  <c r="D55" i="2"/>
  <c r="D57" i="2" s="1"/>
  <c r="AN30" i="2"/>
  <c r="AN32" i="2" s="1"/>
  <c r="AN53" i="2"/>
  <c r="AN40" i="2"/>
  <c r="AN22" i="2"/>
  <c r="AN13" i="2"/>
  <c r="AG53" i="2"/>
  <c r="AM6" i="4"/>
  <c r="AM19" i="4" s="1"/>
  <c r="AM23" i="4" s="1"/>
  <c r="AM55" i="2"/>
  <c r="AM57" i="2" s="1"/>
  <c r="AM24" i="2"/>
  <c r="AL52" i="4"/>
  <c r="AL37" i="4"/>
  <c r="AL6" i="4"/>
  <c r="AL19" i="4" s="1"/>
  <c r="AL23" i="4" s="1"/>
  <c r="AL55" i="2"/>
  <c r="AL57" i="2" s="1"/>
  <c r="AL24" i="2"/>
  <c r="AK21" i="3"/>
  <c r="AK26" i="3" s="1"/>
  <c r="AK32" i="3" s="1"/>
  <c r="AK24" i="2"/>
  <c r="AK55" i="2"/>
  <c r="AK57" i="2" s="1"/>
  <c r="AI26" i="4"/>
  <c r="AI37" i="4" s="1"/>
  <c r="E55" i="2"/>
  <c r="E32" i="2"/>
  <c r="AJ32" i="2"/>
  <c r="AJ53" i="2"/>
  <c r="AJ40" i="2"/>
  <c r="AJ22" i="2"/>
  <c r="AJ13" i="2"/>
  <c r="AI55" i="2"/>
  <c r="AI57" i="2" s="1"/>
  <c r="AI24" i="2"/>
  <c r="AH52" i="4"/>
  <c r="AH55" i="2"/>
  <c r="AH57" i="2" s="1"/>
  <c r="AH24" i="2"/>
  <c r="AG23" i="4"/>
  <c r="AG54" i="4" s="1"/>
  <c r="AG55" i="2"/>
  <c r="AG57" i="2" s="1"/>
  <c r="AG24" i="2"/>
  <c r="AM37" i="4" l="1"/>
  <c r="AM54" i="4" s="1"/>
  <c r="AN52" i="4"/>
  <c r="AN6" i="4"/>
  <c r="AN19" i="4" s="1"/>
  <c r="AN23" i="4" s="1"/>
  <c r="AN37" i="4"/>
  <c r="AJ19" i="3"/>
  <c r="AJ21" i="3" s="1"/>
  <c r="AJ26" i="3" s="1"/>
  <c r="AJ32" i="3" s="1"/>
  <c r="AJ52" i="4"/>
  <c r="AN54" i="4"/>
  <c r="AJ26" i="4"/>
  <c r="AJ37" i="4" s="1"/>
  <c r="AJ15" i="4"/>
  <c r="AJ6" i="4" s="1"/>
  <c r="AJ19" i="4" s="1"/>
  <c r="AJ23" i="4" s="1"/>
  <c r="AH6" i="4"/>
  <c r="AH19" i="4" s="1"/>
  <c r="AH23" i="4" s="1"/>
  <c r="AH54" i="4" s="1"/>
  <c r="AN19" i="3"/>
  <c r="AN21" i="3" s="1"/>
  <c r="AN26" i="3" s="1"/>
  <c r="AN32" i="3" s="1"/>
  <c r="AN55" i="2"/>
  <c r="AN57" i="2" s="1"/>
  <c r="AN24" i="2"/>
  <c r="AL54" i="4"/>
  <c r="AJ55" i="2"/>
  <c r="AJ57" i="2" s="1"/>
  <c r="E57" i="2"/>
  <c r="AJ24" i="2"/>
  <c r="AI54" i="4"/>
  <c r="AF51" i="4"/>
  <c r="AF7" i="4"/>
  <c r="AF48" i="4"/>
  <c r="AF47" i="4"/>
  <c r="AF46" i="4"/>
  <c r="AF45" i="4"/>
  <c r="AF41" i="4"/>
  <c r="AF40" i="4"/>
  <c r="AF36" i="4"/>
  <c r="AF35" i="4"/>
  <c r="AF30" i="4"/>
  <c r="AF29" i="4"/>
  <c r="AF14" i="4"/>
  <c r="AF12" i="4"/>
  <c r="F52" i="4"/>
  <c r="F37" i="4"/>
  <c r="F6" i="4"/>
  <c r="F19" i="4" s="1"/>
  <c r="F23" i="4" s="1"/>
  <c r="AF43" i="3"/>
  <c r="AF42" i="3"/>
  <c r="AF39" i="3"/>
  <c r="AF38" i="3"/>
  <c r="AF30" i="3"/>
  <c r="AF24" i="3"/>
  <c r="AF20" i="3"/>
  <c r="AF18" i="3"/>
  <c r="AF17" i="3"/>
  <c r="AF14" i="3"/>
  <c r="AF13" i="3"/>
  <c r="AF12" i="3"/>
  <c r="AF11" i="3"/>
  <c r="AF10" i="3"/>
  <c r="AF9" i="3"/>
  <c r="AF6" i="3"/>
  <c r="AB6" i="3"/>
  <c r="AF5" i="3"/>
  <c r="F7" i="3"/>
  <c r="F15" i="3" s="1"/>
  <c r="F19" i="3" s="1"/>
  <c r="F21" i="3" s="1"/>
  <c r="F26" i="3" s="1"/>
  <c r="F32" i="3" s="1"/>
  <c r="F30" i="2"/>
  <c r="F32" i="2" s="1"/>
  <c r="J30" i="2"/>
  <c r="F53" i="2"/>
  <c r="F40" i="2"/>
  <c r="F22" i="2"/>
  <c r="F13" i="2"/>
  <c r="AF52" i="2"/>
  <c r="AF51" i="2"/>
  <c r="AF50" i="2"/>
  <c r="AF49" i="2"/>
  <c r="AF48" i="2"/>
  <c r="AF47" i="2"/>
  <c r="AF46" i="2"/>
  <c r="AF45" i="2"/>
  <c r="AF44" i="2"/>
  <c r="AF43" i="2"/>
  <c r="AF39" i="2"/>
  <c r="AF38" i="2"/>
  <c r="AF37" i="2"/>
  <c r="AF36" i="2"/>
  <c r="AF35" i="2"/>
  <c r="AF31" i="2"/>
  <c r="AF29" i="2"/>
  <c r="AF21" i="2"/>
  <c r="AF20" i="2"/>
  <c r="AF19" i="2"/>
  <c r="AF18" i="2"/>
  <c r="AF17" i="2"/>
  <c r="AF16" i="2"/>
  <c r="AF12" i="2"/>
  <c r="AF11" i="2"/>
  <c r="AF10" i="2"/>
  <c r="AF9" i="2"/>
  <c r="AF8" i="2"/>
  <c r="AF7" i="2"/>
  <c r="P7" i="2"/>
  <c r="AJ54" i="4" l="1"/>
  <c r="F24" i="2"/>
  <c r="AF40" i="2"/>
  <c r="F54" i="4"/>
  <c r="F57" i="4" s="1"/>
  <c r="AF7" i="3"/>
  <c r="AF15" i="3" s="1"/>
  <c r="AF19" i="3" s="1"/>
  <c r="AF21" i="3" s="1"/>
  <c r="AF26" i="3" s="1"/>
  <c r="AF32" i="3" s="1"/>
  <c r="F55" i="2"/>
  <c r="F57" i="2" s="1"/>
  <c r="AF30" i="2"/>
  <c r="AF32" i="2"/>
  <c r="AF53" i="2"/>
  <c r="AF55" i="2" s="1"/>
  <c r="AF22" i="2"/>
  <c r="AF13" i="2"/>
  <c r="AF57" i="2" l="1"/>
  <c r="AF24" i="2"/>
  <c r="AE7" i="3" l="1"/>
  <c r="AE15" i="3" s="1"/>
  <c r="AE19" i="3" s="1"/>
  <c r="AE21" i="3" s="1"/>
  <c r="AE26" i="3" s="1"/>
  <c r="AE32" i="3" s="1"/>
  <c r="AD53" i="2"/>
  <c r="AE53" i="2"/>
  <c r="AE30" i="2"/>
  <c r="AE13" i="2" l="1"/>
  <c r="AE22" i="2"/>
  <c r="AE32" i="2"/>
  <c r="AE40" i="2"/>
  <c r="AE55" i="2" s="1"/>
  <c r="AD56" i="4"/>
  <c r="AD50" i="4"/>
  <c r="AD49" i="4"/>
  <c r="AD44" i="4"/>
  <c r="AD43" i="4"/>
  <c r="AD42" i="4"/>
  <c r="AD34" i="4"/>
  <c r="AD33" i="4"/>
  <c r="AD32" i="4"/>
  <c r="AD31" i="4"/>
  <c r="AD27" i="4"/>
  <c r="AD26" i="4"/>
  <c r="AD21" i="4"/>
  <c r="AD18" i="4"/>
  <c r="AD16" i="4"/>
  <c r="AD13" i="4"/>
  <c r="AD10" i="4"/>
  <c r="AD9" i="4"/>
  <c r="AD8" i="4"/>
  <c r="AD5" i="4"/>
  <c r="AD7" i="3"/>
  <c r="AD15" i="3" s="1"/>
  <c r="AD19" i="3" s="1"/>
  <c r="AD21" i="3" s="1"/>
  <c r="AD26" i="3" s="1"/>
  <c r="AD32" i="3" s="1"/>
  <c r="AD30" i="2"/>
  <c r="AD32" i="2" s="1"/>
  <c r="AD13" i="2"/>
  <c r="AD22" i="2"/>
  <c r="AD40" i="2"/>
  <c r="AD55" i="2" s="1"/>
  <c r="AC17" i="4"/>
  <c r="AC15" i="4"/>
  <c r="AC37" i="4"/>
  <c r="AC52" i="4"/>
  <c r="AC7" i="3"/>
  <c r="AC15" i="3" s="1"/>
  <c r="AC19" i="3" s="1"/>
  <c r="AC21" i="3" s="1"/>
  <c r="AC26" i="3" s="1"/>
  <c r="AC30" i="2"/>
  <c r="AC32" i="2" s="1"/>
  <c r="G30" i="2"/>
  <c r="AB30" i="2" s="1"/>
  <c r="AC13" i="2"/>
  <c r="AC22" i="2"/>
  <c r="AC40" i="2"/>
  <c r="AC53" i="2"/>
  <c r="AB51" i="4"/>
  <c r="AB48" i="4"/>
  <c r="AB47" i="4"/>
  <c r="AB46" i="4"/>
  <c r="AB45" i="4"/>
  <c r="AB41" i="4"/>
  <c r="AB40" i="4"/>
  <c r="AB36" i="4"/>
  <c r="AB35" i="4"/>
  <c r="AB30" i="4"/>
  <c r="AB29" i="4"/>
  <c r="AB12" i="4"/>
  <c r="P7" i="4"/>
  <c r="G17" i="4"/>
  <c r="G52" i="4"/>
  <c r="G37" i="4"/>
  <c r="AB43" i="3"/>
  <c r="AB42" i="3"/>
  <c r="AB39" i="3"/>
  <c r="AB38" i="3"/>
  <c r="AB30" i="3"/>
  <c r="AB20" i="3"/>
  <c r="AB18" i="3"/>
  <c r="AB17" i="3"/>
  <c r="AB14" i="3"/>
  <c r="AB13" i="3"/>
  <c r="AB11" i="3"/>
  <c r="AB10" i="3"/>
  <c r="AB9" i="3"/>
  <c r="AB5" i="3"/>
  <c r="G7" i="3"/>
  <c r="G15" i="3" s="1"/>
  <c r="G19" i="3" s="1"/>
  <c r="G21" i="3" s="1"/>
  <c r="G26" i="3" s="1"/>
  <c r="G32" i="3" s="1"/>
  <c r="AB52" i="2"/>
  <c r="AB51" i="2"/>
  <c r="AB50" i="2"/>
  <c r="AB49" i="2"/>
  <c r="AB48" i="2"/>
  <c r="AB47" i="2"/>
  <c r="AB46" i="2"/>
  <c r="AB45" i="2"/>
  <c r="AB44" i="2"/>
  <c r="AB43" i="2"/>
  <c r="AB39" i="2"/>
  <c r="AB38" i="2"/>
  <c r="AB37" i="2"/>
  <c r="AB36" i="2"/>
  <c r="AB35" i="2"/>
  <c r="AB31" i="2"/>
  <c r="AB29" i="2"/>
  <c r="AB21" i="2"/>
  <c r="AB20" i="2"/>
  <c r="AB19" i="2"/>
  <c r="AB18" i="2"/>
  <c r="AB17" i="2"/>
  <c r="AB16" i="2"/>
  <c r="AB12" i="2"/>
  <c r="AB11" i="2"/>
  <c r="AB10" i="2"/>
  <c r="AB9" i="2"/>
  <c r="AB8" i="2"/>
  <c r="AB7" i="2"/>
  <c r="G53" i="2"/>
  <c r="G40" i="2"/>
  <c r="G22" i="2"/>
  <c r="G13" i="2"/>
  <c r="Z56" i="4"/>
  <c r="X10" i="4"/>
  <c r="T5" i="4"/>
  <c r="Z5" i="4"/>
  <c r="AA5" i="4" s="1"/>
  <c r="AE49" i="4" l="1"/>
  <c r="AF49" i="4" s="1"/>
  <c r="AE8" i="4"/>
  <c r="AF8" i="4"/>
  <c r="AE50" i="4"/>
  <c r="AF50" i="4"/>
  <c r="AE33" i="4"/>
  <c r="AF33" i="4" s="1"/>
  <c r="G6" i="4"/>
  <c r="G19" i="4" s="1"/>
  <c r="G23" i="4" s="1"/>
  <c r="G54" i="4" s="1"/>
  <c r="G57" i="4" s="1"/>
  <c r="AE26" i="4"/>
  <c r="AF26" i="4"/>
  <c r="AE9" i="4"/>
  <c r="AF9" i="4" s="1"/>
  <c r="AE27" i="4"/>
  <c r="AF27" i="4" s="1"/>
  <c r="AE31" i="4"/>
  <c r="AF31" i="4" s="1"/>
  <c r="AE13" i="4"/>
  <c r="AF13" i="4"/>
  <c r="AE56" i="4"/>
  <c r="AF56" i="4" s="1"/>
  <c r="AA56" i="4"/>
  <c r="AB56" i="4" s="1"/>
  <c r="AD17" i="4"/>
  <c r="AE17" i="4" s="1"/>
  <c r="AE34" i="4"/>
  <c r="AF34" i="4"/>
  <c r="AE10" i="4"/>
  <c r="AF10" i="4"/>
  <c r="AE32" i="4"/>
  <c r="AF32" i="4" s="1"/>
  <c r="AE16" i="4"/>
  <c r="AF16" i="4" s="1"/>
  <c r="AD37" i="4"/>
  <c r="AE18" i="4"/>
  <c r="AF18" i="4" s="1"/>
  <c r="AE42" i="4"/>
  <c r="AF42" i="4" s="1"/>
  <c r="AD15" i="4"/>
  <c r="AE15" i="4" s="1"/>
  <c r="AE5" i="4"/>
  <c r="AF5" i="4" s="1"/>
  <c r="AE21" i="4"/>
  <c r="AF21" i="4"/>
  <c r="AE44" i="4"/>
  <c r="AF44" i="4" s="1"/>
  <c r="AE43" i="4"/>
  <c r="AD52" i="4"/>
  <c r="AF43" i="4"/>
  <c r="AB5" i="4"/>
  <c r="G24" i="2"/>
  <c r="AB40" i="2"/>
  <c r="G32" i="2"/>
  <c r="AB13" i="2"/>
  <c r="AE57" i="2"/>
  <c r="AE24" i="2"/>
  <c r="AD57" i="2"/>
  <c r="AD24" i="2"/>
  <c r="AC6" i="4"/>
  <c r="AC19" i="4" s="1"/>
  <c r="AC23" i="4" s="1"/>
  <c r="AC54" i="4" s="1"/>
  <c r="AC32" i="3"/>
  <c r="AC55" i="2"/>
  <c r="AC57" i="2" s="1"/>
  <c r="AC24" i="2"/>
  <c r="AB7" i="3"/>
  <c r="AB15" i="3" s="1"/>
  <c r="AB19" i="3" s="1"/>
  <c r="AB21" i="3" s="1"/>
  <c r="AB53" i="2"/>
  <c r="AB32" i="2"/>
  <c r="AB22" i="2"/>
  <c r="G55" i="2"/>
  <c r="AA7" i="3"/>
  <c r="AA15" i="3" s="1"/>
  <c r="AA19" i="3" s="1"/>
  <c r="AA30" i="2"/>
  <c r="AA32" i="2" s="1"/>
  <c r="AA13" i="2"/>
  <c r="AA22" i="2"/>
  <c r="AA40" i="2"/>
  <c r="AA53" i="2"/>
  <c r="Z30" i="2"/>
  <c r="Z32" i="2" s="1"/>
  <c r="Z13" i="2"/>
  <c r="Z22" i="2"/>
  <c r="Z40" i="2"/>
  <c r="Z53" i="2"/>
  <c r="AF17" i="4" l="1"/>
  <c r="G57" i="2"/>
  <c r="AE52" i="4"/>
  <c r="AD6" i="4"/>
  <c r="AD19" i="4" s="1"/>
  <c r="AD23" i="4" s="1"/>
  <c r="AD54" i="4" s="1"/>
  <c r="AE37" i="4"/>
  <c r="AE6" i="4"/>
  <c r="AE19" i="4" s="1"/>
  <c r="AE23" i="4" s="1"/>
  <c r="AF37" i="4"/>
  <c r="AF15" i="4"/>
  <c r="AF6" i="4" s="1"/>
  <c r="AF19" i="4" s="1"/>
  <c r="AF23" i="4" s="1"/>
  <c r="AB55" i="2"/>
  <c r="AB57" i="2" s="1"/>
  <c r="AF52" i="4"/>
  <c r="AC57" i="4"/>
  <c r="AB24" i="2"/>
  <c r="AA21" i="3"/>
  <c r="AA26" i="3" s="1"/>
  <c r="AA32" i="3" s="1"/>
  <c r="AA55" i="2"/>
  <c r="AA57" i="2" s="1"/>
  <c r="AA24" i="2"/>
  <c r="Z24" i="2"/>
  <c r="Z55" i="2"/>
  <c r="Z57" i="2" s="1"/>
  <c r="Z7" i="3"/>
  <c r="Z15" i="3" s="1"/>
  <c r="Z19" i="3" s="1"/>
  <c r="Z21" i="3" s="1"/>
  <c r="Z50" i="4"/>
  <c r="Z49" i="4"/>
  <c r="Z44" i="4"/>
  <c r="Z43" i="4"/>
  <c r="Z42" i="4"/>
  <c r="Z34" i="4"/>
  <c r="Z33" i="4"/>
  <c r="Z32" i="4"/>
  <c r="Z31" i="4"/>
  <c r="Z27" i="4"/>
  <c r="Z26" i="4"/>
  <c r="AE54" i="4" l="1"/>
  <c r="AD55" i="4"/>
  <c r="AD57" i="4" s="1"/>
  <c r="AE55" i="4" s="1"/>
  <c r="AE57" i="4" s="1"/>
  <c r="AF55" i="4" s="1"/>
  <c r="AF54" i="4"/>
  <c r="AA42" i="4"/>
  <c r="AB42" i="4" s="1"/>
  <c r="AA26" i="4"/>
  <c r="AB26" i="4" s="1"/>
  <c r="AA49" i="4"/>
  <c r="AB49" i="4"/>
  <c r="AA31" i="4"/>
  <c r="AB31" i="4" s="1"/>
  <c r="AA32" i="4"/>
  <c r="AB32" i="4"/>
  <c r="AA43" i="4"/>
  <c r="AA44" i="4"/>
  <c r="AB44" i="4" s="1"/>
  <c r="AA27" i="4"/>
  <c r="AB27" i="4" s="1"/>
  <c r="AA50" i="4"/>
  <c r="AB50" i="4" s="1"/>
  <c r="AA33" i="4"/>
  <c r="AB33" i="4" s="1"/>
  <c r="AA34" i="4"/>
  <c r="AB34" i="4"/>
  <c r="Z52" i="4"/>
  <c r="Z37" i="4"/>
  <c r="Z26" i="3"/>
  <c r="Z32" i="3" s="1"/>
  <c r="Z21" i="4"/>
  <c r="Z13" i="4"/>
  <c r="Z18" i="4"/>
  <c r="Z17" i="4"/>
  <c r="Z16" i="4"/>
  <c r="Z15" i="4"/>
  <c r="Z14" i="4"/>
  <c r="Z10" i="4"/>
  <c r="Z9" i="4"/>
  <c r="Z8" i="4"/>
  <c r="Z7" i="4"/>
  <c r="X7" i="4"/>
  <c r="Y6" i="4"/>
  <c r="Y19" i="4" s="1"/>
  <c r="Y23" i="4" s="1"/>
  <c r="Y37" i="4"/>
  <c r="Y52" i="4"/>
  <c r="Y7" i="3"/>
  <c r="Y15" i="3" s="1"/>
  <c r="Y19" i="3" s="1"/>
  <c r="Y21" i="3" s="1"/>
  <c r="Y30" i="2"/>
  <c r="W30" i="2"/>
  <c r="V30" i="2"/>
  <c r="U30" i="2"/>
  <c r="S30" i="2"/>
  <c r="R30" i="2"/>
  <c r="Q30" i="2"/>
  <c r="O30" i="2"/>
  <c r="N30" i="2"/>
  <c r="M30" i="2"/>
  <c r="K30" i="2"/>
  <c r="I30" i="2"/>
  <c r="H30" i="2"/>
  <c r="H32" i="2" s="1"/>
  <c r="AF57" i="4" l="1"/>
  <c r="AG55" i="4" s="1"/>
  <c r="AG57" i="4" s="1"/>
  <c r="AH55" i="4" s="1"/>
  <c r="AH57" i="4" s="1"/>
  <c r="AI55" i="4" s="1"/>
  <c r="AI57" i="4" s="1"/>
  <c r="AJ55" i="4" s="1"/>
  <c r="AJ57" i="4" s="1"/>
  <c r="AK55" i="4" s="1"/>
  <c r="AK57" i="4" s="1"/>
  <c r="AL55" i="4" s="1"/>
  <c r="AL57" i="4" s="1"/>
  <c r="AB37" i="4"/>
  <c r="AA52" i="4"/>
  <c r="AA37" i="4"/>
  <c r="AA18" i="4"/>
  <c r="AB18" i="4"/>
  <c r="AA8" i="4"/>
  <c r="AB8" i="4" s="1"/>
  <c r="AA14" i="4"/>
  <c r="AB14" i="4" s="1"/>
  <c r="AB43" i="4"/>
  <c r="AB52" i="4" s="1"/>
  <c r="AA13" i="4"/>
  <c r="AB13" i="4" s="1"/>
  <c r="AA21" i="4"/>
  <c r="AB21" i="4" s="1"/>
  <c r="AA7" i="4"/>
  <c r="AB7" i="4" s="1"/>
  <c r="AA9" i="4"/>
  <c r="AB9" i="4" s="1"/>
  <c r="AA10" i="4"/>
  <c r="AB10" i="4" s="1"/>
  <c r="AA15" i="4"/>
  <c r="AB15" i="4" s="1"/>
  <c r="AA16" i="4"/>
  <c r="AB16" i="4"/>
  <c r="AA17" i="4"/>
  <c r="AB17" i="4"/>
  <c r="Y54" i="4"/>
  <c r="Y57" i="4" s="1"/>
  <c r="Z6" i="4"/>
  <c r="Z19" i="4" s="1"/>
  <c r="Z23" i="4" s="1"/>
  <c r="Z54" i="4" s="1"/>
  <c r="X30" i="2"/>
  <c r="Y53" i="2"/>
  <c r="Y40" i="2"/>
  <c r="Y32" i="2"/>
  <c r="Y22" i="2"/>
  <c r="Y13" i="2"/>
  <c r="AM55" i="4" l="1"/>
  <c r="AM57" i="4" s="1"/>
  <c r="AB6" i="4"/>
  <c r="AA6" i="4"/>
  <c r="AA19" i="4" s="1"/>
  <c r="AA23" i="4" s="1"/>
  <c r="AA54" i="4" s="1"/>
  <c r="Y55" i="2"/>
  <c r="Y57" i="2" s="1"/>
  <c r="Y24" i="2"/>
  <c r="AN57" i="4" l="1"/>
  <c r="AO55" i="4" s="1"/>
  <c r="AO57" i="4" s="1"/>
  <c r="AB19" i="4"/>
  <c r="X56" i="4"/>
  <c r="W52" i="4"/>
  <c r="X49" i="4"/>
  <c r="T48" i="4"/>
  <c r="T47" i="4"/>
  <c r="P48" i="4"/>
  <c r="P47" i="4"/>
  <c r="X46" i="4"/>
  <c r="X44" i="4"/>
  <c r="W37" i="4"/>
  <c r="X36" i="4"/>
  <c r="W6" i="4"/>
  <c r="W19" i="4" s="1"/>
  <c r="X15" i="4"/>
  <c r="X33" i="4"/>
  <c r="X47" i="4"/>
  <c r="X45" i="4"/>
  <c r="X31" i="4"/>
  <c r="X30" i="4"/>
  <c r="X29" i="4"/>
  <c r="X8" i="4"/>
  <c r="X12" i="4"/>
  <c r="X51" i="4"/>
  <c r="X50" i="4"/>
  <c r="X48" i="4"/>
  <c r="X43" i="4"/>
  <c r="X42" i="4"/>
  <c r="X41" i="4"/>
  <c r="X40" i="4"/>
  <c r="X21" i="4"/>
  <c r="X35" i="4"/>
  <c r="X34" i="4"/>
  <c r="X32" i="4"/>
  <c r="X27" i="4"/>
  <c r="X26" i="4"/>
  <c r="X14" i="4"/>
  <c r="X16" i="4"/>
  <c r="X17" i="4"/>
  <c r="X18" i="4"/>
  <c r="X5" i="4"/>
  <c r="I6" i="4"/>
  <c r="AP55" i="4" l="1"/>
  <c r="AP57" i="4" s="1"/>
  <c r="AQ55" i="4" s="1"/>
  <c r="AQ57" i="4" s="1"/>
  <c r="AR57" i="4" s="1"/>
  <c r="AB23" i="4"/>
  <c r="AB54" i="4" s="1"/>
  <c r="X37" i="4"/>
  <c r="X52" i="4"/>
  <c r="X9" i="4"/>
  <c r="X6" i="4" l="1"/>
  <c r="X19" i="4" s="1"/>
  <c r="X23" i="4" l="1"/>
  <c r="X54" i="4" s="1"/>
  <c r="H52" i="4"/>
  <c r="H37" i="4"/>
  <c r="H6" i="4"/>
  <c r="H19" i="4" s="1"/>
  <c r="H23" i="4" s="1"/>
  <c r="X5" i="3"/>
  <c r="X43" i="3"/>
  <c r="X42" i="3"/>
  <c r="X39" i="3"/>
  <c r="X38" i="3"/>
  <c r="X30" i="3"/>
  <c r="X24" i="3"/>
  <c r="Y24" i="3" s="1"/>
  <c r="X20" i="3"/>
  <c r="X18" i="3"/>
  <c r="X17" i="3"/>
  <c r="X14" i="3"/>
  <c r="X13" i="3"/>
  <c r="X12" i="3"/>
  <c r="X11" i="3"/>
  <c r="X10" i="3"/>
  <c r="X9" i="3"/>
  <c r="X6" i="3"/>
  <c r="W7" i="3"/>
  <c r="W15" i="3" s="1"/>
  <c r="W19" i="3" s="1"/>
  <c r="W21" i="3" s="1"/>
  <c r="W26" i="3" s="1"/>
  <c r="W32" i="3" s="1"/>
  <c r="H7" i="3"/>
  <c r="H15" i="3" s="1"/>
  <c r="W53" i="2"/>
  <c r="W40" i="2"/>
  <c r="W32" i="2"/>
  <c r="W22" i="2"/>
  <c r="W13" i="2"/>
  <c r="X8" i="2"/>
  <c r="X9" i="2"/>
  <c r="X10" i="2"/>
  <c r="X11" i="2"/>
  <c r="X12" i="2"/>
  <c r="X16" i="2"/>
  <c r="X17" i="2"/>
  <c r="X18" i="2"/>
  <c r="X19" i="2"/>
  <c r="X20" i="2"/>
  <c r="X21" i="2"/>
  <c r="X29" i="2"/>
  <c r="X31" i="2"/>
  <c r="X32" i="2"/>
  <c r="X35" i="2"/>
  <c r="X36" i="2"/>
  <c r="X37" i="2"/>
  <c r="X38" i="2"/>
  <c r="X39" i="2"/>
  <c r="X43" i="2"/>
  <c r="X44" i="2"/>
  <c r="X45" i="2"/>
  <c r="X46" i="2"/>
  <c r="X47" i="2"/>
  <c r="X48" i="2"/>
  <c r="X49" i="2"/>
  <c r="X50" i="2"/>
  <c r="X51" i="2"/>
  <c r="X52" i="2"/>
  <c r="X7" i="2"/>
  <c r="H53" i="2"/>
  <c r="X53" i="2" s="1"/>
  <c r="H40" i="2"/>
  <c r="X40" i="2" s="1"/>
  <c r="H22" i="2"/>
  <c r="X22" i="2" s="1"/>
  <c r="H13" i="2"/>
  <c r="X13" i="2" s="1"/>
  <c r="V52" i="4"/>
  <c r="V37" i="4"/>
  <c r="T38" i="2"/>
  <c r="V13" i="2"/>
  <c r="V22" i="2"/>
  <c r="V32" i="2"/>
  <c r="V40" i="2"/>
  <c r="V53" i="2"/>
  <c r="V7" i="3"/>
  <c r="V15" i="3" s="1"/>
  <c r="V19" i="3" s="1"/>
  <c r="V21" i="3" s="1"/>
  <c r="V26" i="3" s="1"/>
  <c r="V32" i="3" s="1"/>
  <c r="P11" i="2"/>
  <c r="Y26" i="3" l="1"/>
  <c r="Y32" i="3" s="1"/>
  <c r="AB24" i="3"/>
  <c r="AB26" i="3" s="1"/>
  <c r="AB32" i="3" s="1"/>
  <c r="W24" i="2"/>
  <c r="H54" i="4"/>
  <c r="H57" i="4" s="1"/>
  <c r="X7" i="3"/>
  <c r="X15" i="3" s="1"/>
  <c r="X19" i="3" s="1"/>
  <c r="X21" i="3" s="1"/>
  <c r="X26" i="3" s="1"/>
  <c r="X32" i="3" s="1"/>
  <c r="H19" i="3"/>
  <c r="H21" i="3" s="1"/>
  <c r="H26" i="3" s="1"/>
  <c r="H32" i="3" s="1"/>
  <c r="W55" i="2"/>
  <c r="W57" i="2" s="1"/>
  <c r="H55" i="2"/>
  <c r="X55" i="2" s="1"/>
  <c r="H24" i="2"/>
  <c r="X24" i="2" s="1"/>
  <c r="V6" i="4"/>
  <c r="V19" i="4" s="1"/>
  <c r="V23" i="4" s="1"/>
  <c r="V54" i="4" s="1"/>
  <c r="V55" i="2"/>
  <c r="V57" i="2" s="1"/>
  <c r="V24" i="2"/>
  <c r="T56" i="4"/>
  <c r="T51" i="4"/>
  <c r="T50" i="4"/>
  <c r="T49" i="4"/>
  <c r="T46" i="4"/>
  <c r="T45" i="4"/>
  <c r="T44" i="4"/>
  <c r="T43" i="4"/>
  <c r="T42" i="4"/>
  <c r="T41" i="4"/>
  <c r="T40" i="4"/>
  <c r="T36" i="4"/>
  <c r="T35" i="4"/>
  <c r="T34" i="4"/>
  <c r="T33" i="4"/>
  <c r="T32" i="4"/>
  <c r="T31" i="4"/>
  <c r="T30" i="4"/>
  <c r="T29" i="4"/>
  <c r="T27" i="4"/>
  <c r="T26" i="4"/>
  <c r="T18" i="4"/>
  <c r="T17" i="4"/>
  <c r="T16" i="4"/>
  <c r="T15" i="4"/>
  <c r="T14" i="4"/>
  <c r="T12" i="4"/>
  <c r="T10" i="4"/>
  <c r="T9" i="4"/>
  <c r="T8" i="4"/>
  <c r="T21" i="4"/>
  <c r="T7" i="4"/>
  <c r="P56" i="4" l="1"/>
  <c r="P51" i="4"/>
  <c r="P50" i="4"/>
  <c r="P49" i="4"/>
  <c r="P46" i="4"/>
  <c r="P45" i="4"/>
  <c r="P44" i="4"/>
  <c r="P43" i="4"/>
  <c r="P42" i="4"/>
  <c r="P41" i="4"/>
  <c r="P40" i="4"/>
  <c r="P36" i="4"/>
  <c r="P35" i="4"/>
  <c r="P34" i="4"/>
  <c r="P33" i="4"/>
  <c r="P32" i="4"/>
  <c r="P31" i="4"/>
  <c r="P30" i="4"/>
  <c r="P29" i="4"/>
  <c r="P27" i="4"/>
  <c r="P26" i="4"/>
  <c r="P21" i="4"/>
  <c r="P18" i="4"/>
  <c r="P17" i="4"/>
  <c r="P16" i="4"/>
  <c r="P15" i="4"/>
  <c r="P14" i="4"/>
  <c r="P12" i="4"/>
  <c r="P10" i="4"/>
  <c r="P9" i="4"/>
  <c r="P8" i="4"/>
  <c r="P5" i="4"/>
  <c r="N6" i="4" l="1"/>
  <c r="N19" i="4" s="1"/>
  <c r="L52" i="4"/>
  <c r="K52" i="4"/>
  <c r="I52" i="4"/>
  <c r="I37" i="4"/>
  <c r="U52" i="4"/>
  <c r="W54" i="4" s="1"/>
  <c r="T52" i="4"/>
  <c r="S52" i="4"/>
  <c r="R52" i="4"/>
  <c r="Q52" i="4"/>
  <c r="P52" i="4"/>
  <c r="N52" i="4"/>
  <c r="M52" i="4"/>
  <c r="U37" i="4"/>
  <c r="T37" i="4"/>
  <c r="S37" i="4"/>
  <c r="R37" i="4"/>
  <c r="Q37" i="4"/>
  <c r="P37" i="4"/>
  <c r="M37" i="4"/>
  <c r="U6" i="4"/>
  <c r="U19" i="4" s="1"/>
  <c r="U23" i="4" s="1"/>
  <c r="T6" i="4"/>
  <c r="T19" i="4" s="1"/>
  <c r="T23" i="4" s="1"/>
  <c r="S6" i="4"/>
  <c r="S19" i="4" s="1"/>
  <c r="S23" i="4" s="1"/>
  <c r="R6" i="4"/>
  <c r="R19" i="4" s="1"/>
  <c r="R23" i="4" s="1"/>
  <c r="Q6" i="4"/>
  <c r="Q19" i="4" s="1"/>
  <c r="Q23" i="4" s="1"/>
  <c r="P6" i="4"/>
  <c r="P19" i="4" s="1"/>
  <c r="P23" i="4" s="1"/>
  <c r="M6" i="4"/>
  <c r="M19" i="4" s="1"/>
  <c r="M23" i="4" s="1"/>
  <c r="T43" i="3"/>
  <c r="T42" i="3"/>
  <c r="T39" i="3"/>
  <c r="T38" i="3"/>
  <c r="T30" i="3"/>
  <c r="T24" i="3"/>
  <c r="T20" i="3"/>
  <c r="T18" i="3"/>
  <c r="T17" i="3"/>
  <c r="T14" i="3"/>
  <c r="T13" i="3"/>
  <c r="T12" i="3"/>
  <c r="T11" i="3"/>
  <c r="T10" i="3"/>
  <c r="T9" i="3"/>
  <c r="T6" i="3"/>
  <c r="T5" i="3"/>
  <c r="M54" i="4" l="1"/>
  <c r="P54" i="4"/>
  <c r="U54" i="4"/>
  <c r="U57" i="4" s="1"/>
  <c r="T54" i="4"/>
  <c r="S54" i="4"/>
  <c r="R54" i="4"/>
  <c r="Q54" i="4"/>
  <c r="O52" i="4"/>
  <c r="O37" i="4"/>
  <c r="O6" i="4"/>
  <c r="O19" i="4" s="1"/>
  <c r="O23" i="4" s="1"/>
  <c r="N37" i="4"/>
  <c r="N23" i="4"/>
  <c r="P43" i="3"/>
  <c r="P42" i="3"/>
  <c r="P39" i="3"/>
  <c r="P38" i="3"/>
  <c r="P30" i="3"/>
  <c r="P24" i="3"/>
  <c r="P20" i="3"/>
  <c r="P18" i="3"/>
  <c r="P17" i="3"/>
  <c r="P13" i="3"/>
  <c r="P12" i="3"/>
  <c r="P11" i="3"/>
  <c r="P10" i="3"/>
  <c r="P9" i="3"/>
  <c r="P6" i="3"/>
  <c r="P5" i="3"/>
  <c r="N7" i="3"/>
  <c r="N15" i="3" s="1"/>
  <c r="N19" i="3" s="1"/>
  <c r="N21" i="3" s="1"/>
  <c r="N26" i="3" s="1"/>
  <c r="N32" i="3" s="1"/>
  <c r="O7" i="3"/>
  <c r="O15" i="3" s="1"/>
  <c r="O19" i="3" s="1"/>
  <c r="O21" i="3" s="1"/>
  <c r="O26" i="3" s="1"/>
  <c r="O32" i="3" s="1"/>
  <c r="Q7" i="3"/>
  <c r="Q15" i="3" s="1"/>
  <c r="Q19" i="3" s="1"/>
  <c r="Q21" i="3" s="1"/>
  <c r="Q26" i="3" s="1"/>
  <c r="Q32" i="3" s="1"/>
  <c r="R7" i="3"/>
  <c r="R15" i="3" s="1"/>
  <c r="R19" i="3" s="1"/>
  <c r="R21" i="3" s="1"/>
  <c r="R26" i="3" s="1"/>
  <c r="R32" i="3" s="1"/>
  <c r="S7" i="3"/>
  <c r="S15" i="3" s="1"/>
  <c r="S19" i="3" s="1"/>
  <c r="S21" i="3" s="1"/>
  <c r="S26" i="3" s="1"/>
  <c r="S32" i="3" s="1"/>
  <c r="T7" i="3"/>
  <c r="T15" i="3" s="1"/>
  <c r="T19" i="3" s="1"/>
  <c r="T21" i="3" s="1"/>
  <c r="T26" i="3" s="1"/>
  <c r="T32" i="3" s="1"/>
  <c r="U7" i="3"/>
  <c r="U15" i="3" s="1"/>
  <c r="U19" i="3" s="1"/>
  <c r="U21" i="3" s="1"/>
  <c r="U26" i="3" s="1"/>
  <c r="U32" i="3" s="1"/>
  <c r="M7" i="3"/>
  <c r="M15" i="3" s="1"/>
  <c r="M19" i="3" s="1"/>
  <c r="M21" i="3" s="1"/>
  <c r="M26" i="3" s="1"/>
  <c r="M32" i="3" s="1"/>
  <c r="Q57" i="4" l="1"/>
  <c r="R55" i="4" s="1"/>
  <c r="R57" i="4" s="1"/>
  <c r="S55" i="4" s="1"/>
  <c r="S57" i="4" s="1"/>
  <c r="M57" i="4"/>
  <c r="N55" i="4" s="1"/>
  <c r="O54" i="4"/>
  <c r="N54" i="4"/>
  <c r="P7" i="3"/>
  <c r="T44" i="2"/>
  <c r="T45" i="2"/>
  <c r="T46" i="2"/>
  <c r="T47" i="2"/>
  <c r="T48" i="2"/>
  <c r="T49" i="2"/>
  <c r="T50" i="2"/>
  <c r="T51" i="2"/>
  <c r="T52" i="2"/>
  <c r="T43" i="2"/>
  <c r="P17" i="2"/>
  <c r="P18" i="2"/>
  <c r="P19" i="2"/>
  <c r="P20" i="2"/>
  <c r="P21" i="2"/>
  <c r="T36" i="2"/>
  <c r="T37" i="2"/>
  <c r="T39" i="2"/>
  <c r="T30" i="2"/>
  <c r="T31" i="2"/>
  <c r="T35" i="2"/>
  <c r="T29" i="2"/>
  <c r="T17" i="2"/>
  <c r="T18" i="2"/>
  <c r="T19" i="2"/>
  <c r="T20" i="2"/>
  <c r="T21" i="2"/>
  <c r="T16" i="2"/>
  <c r="T8" i="2"/>
  <c r="T9" i="2"/>
  <c r="T10" i="2"/>
  <c r="T11" i="2"/>
  <c r="T12" i="2"/>
  <c r="T7" i="2"/>
  <c r="N32" i="2"/>
  <c r="O32" i="2"/>
  <c r="Q32" i="2"/>
  <c r="R32" i="2"/>
  <c r="S32" i="2"/>
  <c r="U32" i="2"/>
  <c r="M32" i="2"/>
  <c r="K32" i="2"/>
  <c r="P30" i="2"/>
  <c r="P31" i="2"/>
  <c r="P36" i="2"/>
  <c r="P37" i="2"/>
  <c r="P38" i="2"/>
  <c r="P39" i="2"/>
  <c r="P44" i="2"/>
  <c r="P45" i="2"/>
  <c r="P46" i="2"/>
  <c r="P47" i="2"/>
  <c r="P48" i="2"/>
  <c r="P49" i="2"/>
  <c r="P50" i="2"/>
  <c r="P51" i="2"/>
  <c r="P52" i="2"/>
  <c r="P35" i="2"/>
  <c r="P29" i="2"/>
  <c r="P16" i="2"/>
  <c r="P8" i="2"/>
  <c r="P9" i="2"/>
  <c r="P12" i="2"/>
  <c r="N57" i="4" l="1"/>
  <c r="O55" i="4" s="1"/>
  <c r="O57" i="4" s="1"/>
  <c r="P55" i="4" s="1"/>
  <c r="P57" i="4" s="1"/>
  <c r="P32" i="2"/>
  <c r="T32" i="2"/>
  <c r="T55" i="4"/>
  <c r="T57" i="4" s="1"/>
  <c r="M53" i="2"/>
  <c r="N53" i="2"/>
  <c r="O53" i="2"/>
  <c r="Q53" i="2"/>
  <c r="R53" i="2"/>
  <c r="S53" i="2"/>
  <c r="U53" i="2"/>
  <c r="T40" i="2"/>
  <c r="M40" i="2"/>
  <c r="N40" i="2"/>
  <c r="O40" i="2"/>
  <c r="Q40" i="2"/>
  <c r="R40" i="2"/>
  <c r="S40" i="2"/>
  <c r="U40" i="2"/>
  <c r="M22" i="2"/>
  <c r="N22" i="2"/>
  <c r="O22" i="2"/>
  <c r="Q22" i="2"/>
  <c r="R22" i="2"/>
  <c r="S22" i="2"/>
  <c r="U22" i="2"/>
  <c r="T53" i="2"/>
  <c r="M13" i="2"/>
  <c r="N13" i="2"/>
  <c r="O13" i="2"/>
  <c r="Q13" i="2"/>
  <c r="R13" i="2"/>
  <c r="S13" i="2"/>
  <c r="U13" i="2"/>
  <c r="N55" i="2" l="1"/>
  <c r="N57" i="2" s="1"/>
  <c r="M55" i="2"/>
  <c r="M57" i="2" s="1"/>
  <c r="U55" i="2"/>
  <c r="U57" i="2" s="1"/>
  <c r="S55" i="2"/>
  <c r="S57" i="2" s="1"/>
  <c r="R55" i="2"/>
  <c r="R57" i="2" s="1"/>
  <c r="R24" i="2"/>
  <c r="Q55" i="2"/>
  <c r="Q57" i="2" s="1"/>
  <c r="T55" i="2"/>
  <c r="T57" i="2" s="1"/>
  <c r="Q24" i="2"/>
  <c r="O55" i="2"/>
  <c r="O57" i="2" s="1"/>
  <c r="P40" i="2"/>
  <c r="P22" i="2"/>
  <c r="U24" i="2"/>
  <c r="S24" i="2"/>
  <c r="O24" i="2"/>
  <c r="N24" i="2"/>
  <c r="M24" i="2"/>
  <c r="T22" i="2"/>
  <c r="T13" i="2"/>
  <c r="I40" i="2"/>
  <c r="V55" i="4" l="1"/>
  <c r="V57" i="4" s="1"/>
  <c r="T24" i="2"/>
  <c r="L13" i="2"/>
  <c r="W55" i="4" l="1"/>
  <c r="W57" i="4" s="1"/>
  <c r="L37" i="4"/>
  <c r="X55" i="4" l="1"/>
  <c r="X57" i="4" s="1"/>
  <c r="I19" i="4"/>
  <c r="I23" i="4" s="1"/>
  <c r="I54" i="4" s="1"/>
  <c r="I57" i="4" s="1"/>
  <c r="I7" i="3"/>
  <c r="I15" i="3" s="1"/>
  <c r="I19" i="3" s="1"/>
  <c r="I21" i="3" s="1"/>
  <c r="I26" i="3" s="1"/>
  <c r="I32" i="3" s="1"/>
  <c r="I53" i="2"/>
  <c r="I32" i="2"/>
  <c r="I22" i="2"/>
  <c r="I13" i="2"/>
  <c r="I55" i="2" l="1"/>
  <c r="I57" i="2" s="1"/>
  <c r="I24" i="2"/>
  <c r="L56" i="4"/>
  <c r="L18" i="4"/>
  <c r="L6" i="4" s="1"/>
  <c r="J52" i="4"/>
  <c r="K37" i="4"/>
  <c r="J37" i="4"/>
  <c r="K6" i="4"/>
  <c r="J6" i="4"/>
  <c r="J19" i="4" s="1"/>
  <c r="J23" i="4" s="1"/>
  <c r="L53" i="2"/>
  <c r="L40" i="2"/>
  <c r="L32" i="2"/>
  <c r="L22" i="2"/>
  <c r="K44" i="2"/>
  <c r="K53" i="2" s="1"/>
  <c r="J43" i="2"/>
  <c r="K40" i="2"/>
  <c r="J40" i="2"/>
  <c r="J32" i="2"/>
  <c r="K22" i="2"/>
  <c r="J22" i="2"/>
  <c r="K13" i="2"/>
  <c r="J10" i="2"/>
  <c r="Z55" i="4" l="1"/>
  <c r="Z57" i="4" s="1"/>
  <c r="K24" i="2"/>
  <c r="K55" i="2"/>
  <c r="K57" i="2" s="1"/>
  <c r="J53" i="2"/>
  <c r="J55" i="2" s="1"/>
  <c r="J57" i="2" s="1"/>
  <c r="P43" i="2"/>
  <c r="P53" i="2" s="1"/>
  <c r="P55" i="2" s="1"/>
  <c r="P57" i="2" s="1"/>
  <c r="J13" i="2"/>
  <c r="J24" i="2" s="1"/>
  <c r="P10" i="2"/>
  <c r="P13" i="2" s="1"/>
  <c r="P24" i="2" s="1"/>
  <c r="J54" i="4"/>
  <c r="J57" i="4" s="1"/>
  <c r="L19" i="4"/>
  <c r="L23" i="4" s="1"/>
  <c r="K19" i="4"/>
  <c r="K23" i="4" s="1"/>
  <c r="K54" i="4" s="1"/>
  <c r="K57" i="4" s="1"/>
  <c r="AA55" i="4" l="1"/>
  <c r="K43" i="3"/>
  <c r="K42" i="3"/>
  <c r="K39" i="3"/>
  <c r="J14" i="3"/>
  <c r="P14" i="3" s="1"/>
  <c r="P15" i="3" s="1"/>
  <c r="P19" i="3" s="1"/>
  <c r="P21" i="3" s="1"/>
  <c r="P26" i="3" s="1"/>
  <c r="P32" i="3" s="1"/>
  <c r="K7" i="3"/>
  <c r="K15" i="3" s="1"/>
  <c r="K19" i="3" s="1"/>
  <c r="K21" i="3" s="1"/>
  <c r="K26" i="3" s="1"/>
  <c r="K32" i="3" s="1"/>
  <c r="J7" i="3"/>
  <c r="AA57" i="4" l="1"/>
  <c r="AB55" i="4" s="1"/>
  <c r="AB57" i="4" s="1"/>
  <c r="J15" i="3"/>
  <c r="J19" i="3" s="1"/>
  <c r="J21" i="3" s="1"/>
  <c r="J26" i="3" s="1"/>
  <c r="J32" i="3" s="1"/>
  <c r="L54" i="4"/>
  <c r="L57" i="4" s="1"/>
  <c r="L24" i="2"/>
  <c r="H57" i="2" l="1"/>
  <c r="X57" i="2" s="1"/>
</calcChain>
</file>

<file path=xl/sharedStrings.xml><?xml version="1.0" encoding="utf-8"?>
<sst xmlns="http://schemas.openxmlformats.org/spreadsheetml/2006/main" count="297" uniqueCount="168">
  <si>
    <t>SKONSOLIDOWANY BILANS</t>
  </si>
  <si>
    <t>Dane kwartalne</t>
  </si>
  <si>
    <t>Przychody ze sprzedaży</t>
  </si>
  <si>
    <t>Koszt własny sprzedaży</t>
  </si>
  <si>
    <t>Pozostałe przychody operacyjne</t>
  </si>
  <si>
    <t>Pozostałe koszty operacyjne</t>
  </si>
  <si>
    <t>Przychody finansowe</t>
  </si>
  <si>
    <t>Koszty finansowe</t>
  </si>
  <si>
    <t>Podatek dochodowy</t>
  </si>
  <si>
    <t>Z działalności kontynuowanej:</t>
  </si>
  <si>
    <t>Z działalności kontynuowanej i zaniechanej:</t>
  </si>
  <si>
    <t>-</t>
  </si>
  <si>
    <t>Aktywa trwałe</t>
  </si>
  <si>
    <t>Rzeczowe aktywa trwałe</t>
  </si>
  <si>
    <t>Aktywa obrotowe</t>
  </si>
  <si>
    <t>Zapasy</t>
  </si>
  <si>
    <t>Środki pieniężne i ich ekwiwalenty</t>
  </si>
  <si>
    <t>Aktywa razem</t>
  </si>
  <si>
    <t>Kapitał własny</t>
  </si>
  <si>
    <t>Pozostałe zobowiązania finansowe</t>
  </si>
  <si>
    <t>Zobowiązania krótkoterminowe</t>
  </si>
  <si>
    <t>Amortyzacja</t>
  </si>
  <si>
    <t>Zysk (strata) netto z działalności zaniechanej</t>
  </si>
  <si>
    <t>Pozostałe aktywa finansowe</t>
  </si>
  <si>
    <t>4Q 2018</t>
  </si>
  <si>
    <t>3Q 2018</t>
  </si>
  <si>
    <t>2Q 2018</t>
  </si>
  <si>
    <t>1Q 2019</t>
  </si>
  <si>
    <t>2Q 2019</t>
  </si>
  <si>
    <t>PLN’000</t>
  </si>
  <si>
    <t>Zysk (strata) brutto na sprzedaży</t>
  </si>
  <si>
    <t>Koszty sprzedaży i marketingu</t>
  </si>
  <si>
    <t>Koszty magazynowania (logistyki)</t>
  </si>
  <si>
    <t>Koszty zarządu</t>
  </si>
  <si>
    <t>Pozostałe zyski/straty netto</t>
  </si>
  <si>
    <t>Zysk (strata) na działalności operacyjnej</t>
  </si>
  <si>
    <t>Zysk (strata) przed opodatkowaniem</t>
  </si>
  <si>
    <t xml:space="preserve">Zysk (strata) netto </t>
  </si>
  <si>
    <t>Działalność zaniechana</t>
  </si>
  <si>
    <t>ZYSK (STRATA) NETTO</t>
  </si>
  <si>
    <t>Pozostałe całkowite dochody netto</t>
  </si>
  <si>
    <t>Różnice kursowe z przeliczenia jednostek zagranicznych</t>
  </si>
  <si>
    <t>SUMA CAŁKOWITYCH DOCHODÓW</t>
  </si>
  <si>
    <t>Zysk (strata) na akcję</t>
  </si>
  <si>
    <t>(w zł na jedną akcję)</t>
  </si>
  <si>
    <t xml:space="preserve">    Zwykły</t>
  </si>
  <si>
    <t xml:space="preserve">    Rozwodniony</t>
  </si>
  <si>
    <t>Okres zakończony</t>
  </si>
  <si>
    <t>1Q 2018</t>
  </si>
  <si>
    <t xml:space="preserve">PLN'000
</t>
  </si>
  <si>
    <t>Wartości niematerialne i prawne</t>
  </si>
  <si>
    <t>Inwestycje w jednostkach pozostałych</t>
  </si>
  <si>
    <t>Pozostałe należności długoterminowe</t>
  </si>
  <si>
    <t xml:space="preserve">Pozostałe długoterminowe aktywa finansowe </t>
  </si>
  <si>
    <t>Aktywa z tytułu podatku odroczonego</t>
  </si>
  <si>
    <t>Aktywa trwałe razem</t>
  </si>
  <si>
    <t>Należności handlowe oraz pozostałe należności</t>
  </si>
  <si>
    <t>Bieżące aktywa podatkowe</t>
  </si>
  <si>
    <t>Aktywa obrotowe razem</t>
  </si>
  <si>
    <t>KAPITAŁ WŁASNY I ZOBOWIĄZANIA</t>
  </si>
  <si>
    <t>Wyemitowany kapitał akcyjny</t>
  </si>
  <si>
    <t>Pozostałe kapitały</t>
  </si>
  <si>
    <t>Kapitał własny razem</t>
  </si>
  <si>
    <t>Zobowiązania długoterminowe</t>
  </si>
  <si>
    <t>Długoterminowe pożyczki i kredyty bankowe</t>
  </si>
  <si>
    <t xml:space="preserve">Zobowiązania z tyt. leasingu finansowego </t>
  </si>
  <si>
    <t>Zobowiązania z tyt. świadczeń pracowniczych</t>
  </si>
  <si>
    <t>Rezerwa na podatek odroczony</t>
  </si>
  <si>
    <t>Zobowiązania długoterminowe razem</t>
  </si>
  <si>
    <t>Zobowiązania handlowe i pozostałe zobowiązania</t>
  </si>
  <si>
    <t xml:space="preserve">Krótkoterminowe pożyczki i kredyty bankowe </t>
  </si>
  <si>
    <t>Bieżące zobowiązania podatkowe</t>
  </si>
  <si>
    <t>Rezerwy krótkoterminowe</t>
  </si>
  <si>
    <t>Zobowiązania krótkoterminowe razem</t>
  </si>
  <si>
    <t>Zobowiązania razem</t>
  </si>
  <si>
    <t>Kapitał własny i zobowiązania razem</t>
  </si>
  <si>
    <t xml:space="preserve">Dane roczne           </t>
  </si>
  <si>
    <t>Przepływy pieniężne z działalności operacyjnej</t>
  </si>
  <si>
    <t xml:space="preserve">Zysk przed opodatkowaniem </t>
  </si>
  <si>
    <t>Korekty:</t>
  </si>
  <si>
    <t>Zyski (straty) z tytułu różnic kursowych</t>
  </si>
  <si>
    <t>Inne korekty - wycena kapitału z emisji warrantów</t>
  </si>
  <si>
    <t xml:space="preserve">Inne korekty </t>
  </si>
  <si>
    <t>Zwiększenie / zmniejszenie salda należności handlowych oraz pozostałych należności</t>
  </si>
  <si>
    <t>Zwiększenie / zmniejszenie zobowiązań z tyt. świadczeń pracowniczych oraz rezerw</t>
  </si>
  <si>
    <t>Środki pieniężne z działalności operacyjnej</t>
  </si>
  <si>
    <t>Zapłacony podatek dochodowy</t>
  </si>
  <si>
    <t>Środki pieniężne netto z działalności operacyjnej</t>
  </si>
  <si>
    <t>Przepływy pieniężne z działalności inwestycyjnej</t>
  </si>
  <si>
    <t>Nabycie wartości niematerialnych i prawnych oraz rzeczowych aktywów trwałych</t>
  </si>
  <si>
    <t>Zbycie wartości niematerialnych i prawnych oraz rzeczowych aktywów trwałych</t>
  </si>
  <si>
    <t xml:space="preserve">Udzielone pożyczki </t>
  </si>
  <si>
    <t>Spłata udzielonych pożyczek</t>
  </si>
  <si>
    <t>Wpływy z tytułu udzielonego leasingu finansowego</t>
  </si>
  <si>
    <t>Odsetki otrzymane</t>
  </si>
  <si>
    <t>Wpływy z tyt. kontraktów terminowych</t>
  </si>
  <si>
    <t>Wydatki z tyt. kontraktów terminowych</t>
  </si>
  <si>
    <t>Środki pieniężne netto z działalności inwestycyjnej</t>
  </si>
  <si>
    <t>Przepływy pieniężne z działalności finansowej</t>
  </si>
  <si>
    <t>Wpływy z emisji akcji</t>
  </si>
  <si>
    <t>Wydatki dotyczące emisji akcji</t>
  </si>
  <si>
    <t>Otrzymane kredyty i pożyczki</t>
  </si>
  <si>
    <t>Spłaty kredytów i pożyczek</t>
  </si>
  <si>
    <t>Płatności zobowiązań z tytułu umów leasingu finansowego</t>
  </si>
  <si>
    <t>Odsetki i prowizje zapłacone</t>
  </si>
  <si>
    <t xml:space="preserve">Inne wpływy finansowe </t>
  </si>
  <si>
    <t>Środki pieniężne netto z działalności finansowej</t>
  </si>
  <si>
    <t>Przepływy pieniężne netto razem</t>
  </si>
  <si>
    <t>Środki pieniężne i ich ekwiwalenty na początek okresu sprawozdawczego</t>
  </si>
  <si>
    <t>Wpływ zmian kursów walut na saldo środków pieniężnych w walutach obcych</t>
  </si>
  <si>
    <t>Środki pieniężne i ich ekwiwalenty na koniec okresu sprawozdawczego</t>
  </si>
  <si>
    <t>Nabycie aktywów finansowych</t>
  </si>
  <si>
    <t>Zbycie aktywów finansowych</t>
  </si>
  <si>
    <t>2017*</t>
  </si>
  <si>
    <t>3Q 2019</t>
  </si>
  <si>
    <t>4Q 2019</t>
  </si>
  <si>
    <t>1Q 2020</t>
  </si>
  <si>
    <t>Rezerwy długoterminowe</t>
  </si>
  <si>
    <t>Zobowiązania z tyt. faktoringu na finansowanie dostaw</t>
  </si>
  <si>
    <t>Zyski zatrzymane rok bieżący i ubiegły</t>
  </si>
  <si>
    <r>
      <rPr>
        <i/>
        <sz val="10"/>
        <color rgb="FF000000"/>
        <rFont val="Arial"/>
        <family val="2"/>
        <charset val="238"/>
      </rPr>
      <t xml:space="preserve">* </t>
    </r>
    <r>
      <rPr>
        <i/>
        <sz val="8"/>
        <color rgb="FF000000"/>
        <rFont val="Arial"/>
        <family val="2"/>
        <charset val="238"/>
      </rPr>
      <t>dane przekształcone, zob. Skonsolidowane Sprawozdanie Finansowe za rok zakończony 31 grudnia 2018 roku</t>
    </r>
  </si>
  <si>
    <t>*) dane przekształcone, zob. Skonsolidowane Sprawozdanie Finansowe za rok zakończony 31 grudnia 2018 roku</t>
  </si>
  <si>
    <t>* dane przekształcone, zob. Skonsolidowane Sprawozdanie Finansowe za rok zakończony 31 grudnia 2018 roku</t>
  </si>
  <si>
    <t>Wypłata dywidendy</t>
  </si>
  <si>
    <t>Wpływ finansowania - faktoring odwrotny</t>
  </si>
  <si>
    <t>Wpływ finansowania - faktoring na należności</t>
  </si>
  <si>
    <t>Przychody ze sprzedaży Grupy Kapitałowej Auto Partner</t>
  </si>
  <si>
    <t>Przychody ze sprzedaży Spółki Auto Partner SA</t>
  </si>
  <si>
    <t>Przychody ze sprzedaży Spółek zależnych</t>
  </si>
  <si>
    <t>Wyłączenia konsolidacyjne</t>
  </si>
  <si>
    <t>PLN'000</t>
  </si>
  <si>
    <t>2Q 2020</t>
  </si>
  <si>
    <t>3Q 2020</t>
  </si>
  <si>
    <t>4Q 2020</t>
  </si>
  <si>
    <t>Dane roczne</t>
  </si>
  <si>
    <t>Zyski (straty) z tytułu działalności inwestycyjnej oraz z tytułu sprzedaży środków trwałych</t>
  </si>
  <si>
    <t>Spłata finansowania - faktoring odwrotny</t>
  </si>
  <si>
    <t>Spłata finansowania - faktoring na należności</t>
  </si>
  <si>
    <t>1Q 2021</t>
  </si>
  <si>
    <t>Inne korekty, w przypadku, których skutkami pieniężnymi są przepływy pieniężne z działalności finansowej lub inwestycyjnej</t>
  </si>
  <si>
    <t>2Q 2021</t>
  </si>
  <si>
    <t>3Q 2021</t>
  </si>
  <si>
    <t>4Q 2021</t>
  </si>
  <si>
    <t>1Q 2022</t>
  </si>
  <si>
    <t>2Q 2022</t>
  </si>
  <si>
    <t>3Q 2022</t>
  </si>
  <si>
    <t>4Q 2022</t>
  </si>
  <si>
    <t>1Q 2023</t>
  </si>
  <si>
    <t>2Q 2023</t>
  </si>
  <si>
    <t>3Q 2023</t>
  </si>
  <si>
    <t>4Q 2023</t>
  </si>
  <si>
    <t>1Q 2024</t>
  </si>
  <si>
    <t>2Q 2024</t>
  </si>
  <si>
    <t>3Q 2024</t>
  </si>
  <si>
    <t>4Q 2024</t>
  </si>
  <si>
    <t>1Q 2025</t>
  </si>
  <si>
    <t>2Q 2025</t>
  </si>
  <si>
    <t>Aktywa z tytułu umów z klientami</t>
  </si>
  <si>
    <t>Zobowiązania z tytułu umów z klientami</t>
  </si>
  <si>
    <t>Zobowiąznia z tyt. faktoringu na finansownie należności</t>
  </si>
  <si>
    <t>Koszty finansowe (odsetki, prowizje)</t>
  </si>
  <si>
    <t>Zwiększenie / zmniejszenie stanu zapasów i aktywa z tytułu umów z klientami</t>
  </si>
  <si>
    <t>Zwiększenie / zmniejszenie salda zobowiązań handlowych oraz pozostałych zobowiązań i zobowiązań z tyt. umów z klientami</t>
  </si>
  <si>
    <t>3Q 2025</t>
  </si>
  <si>
    <t>4Q 2025</t>
  </si>
  <si>
    <t>Przychody finansowe (odsetki)</t>
  </si>
  <si>
    <t>Zwrot nakładów inwestycyjnych</t>
  </si>
  <si>
    <t>1Q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</si>
</sst>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,##0\ _z_ł;\(#,##0\)\ _z_ł"/>
    <numFmt numFmtId="166" formatCode="_(* #,##0_);_(* \(#,##0\);_(* &quot;-&quot;_);_(@_)"/>
    <numFmt numFmtId="167" formatCode="_(* #,##0.00_);_(* \(#,##0.00\);_(* &quot;-&quot;??_);_(@_)"/>
    <numFmt numFmtId="168" formatCode="_(* #,##0.00_);_(* \(#,##0.00\);_(* &quot;-&quot;_);_(@_)"/>
  </numFmts>
  <fonts count="40">
    <font>
      <sz val="11"/>
      <color theme="1"/>
      <name val="Czcionka tekstu podstawowego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theme="1"/>
      <name val="Czcionka tekstu podstawowego"/>
      <family val="2"/>
      <charset val="238"/>
    </font>
    <font>
      <b/>
      <sz val="11"/>
      <color theme="1"/>
      <name val="Calibri"/>
      <family val="2"/>
      <scheme val="minor"/>
    </font>
    <font>
      <b/>
      <sz val="8"/>
      <color theme="1"/>
      <name val="Czcionka tekstu podstawowego"/>
      <family val="2"/>
      <charset val="238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i/>
      <sz val="11"/>
      <color theme="1"/>
      <name val="Calibri"/>
      <family val="2"/>
      <scheme val="minor"/>
    </font>
    <font>
      <b/>
      <sz val="8"/>
      <color theme="0"/>
      <name val="Tahoma"/>
      <family val="2"/>
      <charset val="238"/>
    </font>
    <font>
      <sz val="10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8"/>
      <color rgb="FFC00000"/>
      <name val="Tahoma"/>
      <family val="2"/>
      <charset val="238"/>
    </font>
    <font>
      <sz val="8"/>
      <name val="Tahoma"/>
      <family val="2"/>
      <charset val="238"/>
    </font>
    <font>
      <b/>
      <i/>
      <sz val="8"/>
      <color theme="1"/>
      <name val="Tahoma"/>
      <family val="2"/>
      <charset val="238"/>
    </font>
    <font>
      <sz val="7"/>
      <color rgb="FFC00000"/>
      <name val="Tahoma"/>
      <family val="2"/>
      <charset val="238"/>
    </font>
    <font>
      <b/>
      <sz val="8"/>
      <name val="Tahoma"/>
      <family val="2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i/>
      <sz val="8"/>
      <color rgb="FF000000"/>
      <name val="Tahoma"/>
      <family val="2"/>
      <charset val="238"/>
    </font>
    <font>
      <sz val="11"/>
      <color rgb="FFC00000"/>
      <name val="Czcionka tekstu podstawowego"/>
      <family val="2"/>
      <charset val="238"/>
    </font>
    <font>
      <sz val="8"/>
      <color theme="1"/>
      <name val="Ebrima"/>
      <charset val="238"/>
    </font>
    <font>
      <b/>
      <i/>
      <sz val="8"/>
      <color rgb="FF000000"/>
      <name val="Tahoma"/>
      <family val="2"/>
      <charset val="238"/>
    </font>
    <font>
      <sz val="8"/>
      <name val="Czcionka tekstu podstawowego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8"/>
      <color rgb="FFC00000"/>
      <name val="Tahoma"/>
      <family val="2"/>
      <charset val="238"/>
    </font>
    <font>
      <b/>
      <sz val="10"/>
      <color rgb="FFC00000"/>
      <name val="Tahoma"/>
      <family val="2"/>
      <charset val="238"/>
    </font>
    <font>
      <sz val="10"/>
      <color theme="1"/>
      <name val="Czcionka tekstu podstawowego"/>
      <charset val="238"/>
    </font>
    <font>
      <b/>
      <sz val="11"/>
      <color rgb="FFC00000"/>
      <name val="Czcionka tekstu podstawowego"/>
      <family val="2"/>
      <charset val="238"/>
    </font>
    <font>
      <b/>
      <sz val="11"/>
      <color rgb="FFC00000"/>
      <name val="Tahoma"/>
      <family val="2"/>
      <charset val="238"/>
    </font>
    <font>
      <sz val="9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4" fillId="0" borderId="0"/>
    <xf numFmtId="0" fontId="26" fillId="0" borderId="0"/>
    <xf numFmtId="0" fontId="30" fillId="0" borderId="0"/>
    <xf numFmtId="0" fontId="26" fillId="0" borderId="0"/>
    <xf numFmtId="9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</cellStyleXfs>
  <cellXfs count="293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0" fillId="3" borderId="0" xfId="0" applyFill="1"/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8" fillId="2" borderId="0" xfId="0" applyFont="1" applyFill="1"/>
    <xf numFmtId="165" fontId="2" fillId="2" borderId="0" xfId="0" applyNumberFormat="1" applyFont="1" applyFill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 wrapText="1"/>
    </xf>
    <xf numFmtId="0" fontId="0" fillId="0" borderId="1" xfId="0" applyBorder="1"/>
    <xf numFmtId="0" fontId="10" fillId="2" borderId="0" xfId="0" applyFont="1" applyFill="1"/>
    <xf numFmtId="0" fontId="7" fillId="0" borderId="0" xfId="0" applyFont="1"/>
    <xf numFmtId="0" fontId="7" fillId="0" borderId="8" xfId="0" applyFont="1" applyBorder="1"/>
    <xf numFmtId="0" fontId="7" fillId="0" borderId="0" xfId="0" applyFont="1" applyAlignment="1">
      <alignment horizontal="right" vertical="center" wrapText="1"/>
    </xf>
    <xf numFmtId="0" fontId="3" fillId="0" borderId="0" xfId="0" applyFont="1"/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 wrapText="1"/>
    </xf>
    <xf numFmtId="165" fontId="1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0" fillId="2" borderId="1" xfId="0" applyFill="1" applyBorder="1"/>
    <xf numFmtId="3" fontId="7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3" fontId="14" fillId="0" borderId="0" xfId="0" applyNumberFormat="1" applyFont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165" fontId="2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4" fontId="13" fillId="0" borderId="0" xfId="0" applyNumberFormat="1" applyFont="1" applyAlignment="1">
      <alignment horizontal="right" vertical="center" wrapText="1"/>
    </xf>
    <xf numFmtId="2" fontId="7" fillId="0" borderId="0" xfId="0" applyNumberFormat="1" applyFont="1" applyAlignment="1">
      <alignment horizontal="right" vertical="center" wrapText="1"/>
    </xf>
    <xf numFmtId="2" fontId="7" fillId="0" borderId="6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6" fontId="25" fillId="0" borderId="0" xfId="2" applyNumberFormat="1" applyFont="1" applyAlignment="1">
      <alignment horizontal="right" vertical="center" wrapText="1"/>
    </xf>
    <xf numFmtId="0" fontId="27" fillId="5" borderId="0" xfId="2" applyFont="1" applyFill="1" applyAlignment="1">
      <alignment vertical="center" wrapText="1"/>
    </xf>
    <xf numFmtId="166" fontId="28" fillId="5" borderId="15" xfId="2" applyNumberFormat="1" applyFont="1" applyFill="1" applyBorder="1" applyAlignment="1">
      <alignment horizontal="right" vertical="center" wrapText="1"/>
    </xf>
    <xf numFmtId="166" fontId="28" fillId="2" borderId="15" xfId="2" applyNumberFormat="1" applyFont="1" applyFill="1" applyBorder="1" applyAlignment="1">
      <alignment horizontal="right" vertical="center" wrapText="1"/>
    </xf>
    <xf numFmtId="166" fontId="27" fillId="2" borderId="15" xfId="2" applyNumberFormat="1" applyFont="1" applyFill="1" applyBorder="1" applyAlignment="1">
      <alignment horizontal="right" vertical="center" wrapText="1"/>
    </xf>
    <xf numFmtId="166" fontId="27" fillId="5" borderId="15" xfId="2" applyNumberFormat="1" applyFont="1" applyFill="1" applyBorder="1" applyAlignment="1">
      <alignment horizontal="right" vertical="center" wrapText="1"/>
    </xf>
    <xf numFmtId="166" fontId="27" fillId="0" borderId="15" xfId="2" applyNumberFormat="1" applyFont="1" applyBorder="1" applyAlignment="1">
      <alignment horizontal="right" vertical="center" wrapText="1"/>
    </xf>
    <xf numFmtId="166" fontId="27" fillId="0" borderId="15" xfId="2" applyNumberFormat="1" applyFont="1" applyBorder="1" applyAlignment="1">
      <alignment horizontal="right" wrapText="1"/>
    </xf>
    <xf numFmtId="166" fontId="27" fillId="0" borderId="0" xfId="2" applyNumberFormat="1" applyFont="1" applyAlignment="1">
      <alignment horizontal="right" vertical="center" wrapText="1"/>
    </xf>
    <xf numFmtId="0" fontId="29" fillId="2" borderId="0" xfId="2" applyFont="1" applyFill="1" applyAlignment="1">
      <alignment horizontal="right" vertical="center" wrapText="1"/>
    </xf>
    <xf numFmtId="166" fontId="29" fillId="2" borderId="0" xfId="2" applyNumberFormat="1" applyFont="1" applyFill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/>
    </xf>
    <xf numFmtId="0" fontId="7" fillId="0" borderId="8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3" fontId="11" fillId="0" borderId="8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3" fontId="14" fillId="0" borderId="8" xfId="0" applyNumberFormat="1" applyFont="1" applyBorder="1" applyAlignment="1">
      <alignment horizontal="right" vertical="center" wrapText="1"/>
    </xf>
    <xf numFmtId="2" fontId="7" fillId="0" borderId="8" xfId="0" applyNumberFormat="1" applyFont="1" applyBorder="1" applyAlignment="1">
      <alignment horizontal="right" vertical="center" wrapText="1"/>
    </xf>
    <xf numFmtId="2" fontId="7" fillId="0" borderId="13" xfId="0" applyNumberFormat="1" applyFont="1" applyBorder="1" applyAlignment="1">
      <alignment horizontal="right" vertical="center" wrapText="1"/>
    </xf>
    <xf numFmtId="0" fontId="34" fillId="4" borderId="2" xfId="0" applyFont="1" applyFill="1" applyBorder="1" applyAlignment="1">
      <alignment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9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9" fillId="5" borderId="8" xfId="2" applyFont="1" applyFill="1" applyBorder="1" applyAlignment="1">
      <alignment vertical="center" wrapText="1"/>
    </xf>
    <xf numFmtId="166" fontId="29" fillId="5" borderId="0" xfId="2" applyNumberFormat="1" applyFont="1" applyFill="1" applyAlignment="1">
      <alignment horizontal="right" vertical="center" wrapText="1"/>
    </xf>
    <xf numFmtId="166" fontId="29" fillId="5" borderId="1" xfId="2" applyNumberFormat="1" applyFont="1" applyFill="1" applyBorder="1" applyAlignment="1">
      <alignment horizontal="right" vertical="center" wrapText="1"/>
    </xf>
    <xf numFmtId="0" fontId="28" fillId="5" borderId="16" xfId="2" applyFont="1" applyFill="1" applyBorder="1" applyAlignment="1">
      <alignment vertical="center" wrapText="1"/>
    </xf>
    <xf numFmtId="166" fontId="28" fillId="5" borderId="17" xfId="2" applyNumberFormat="1" applyFont="1" applyFill="1" applyBorder="1" applyAlignment="1">
      <alignment horizontal="right" vertical="center" wrapText="1"/>
    </xf>
    <xf numFmtId="9" fontId="29" fillId="5" borderId="0" xfId="2" applyNumberFormat="1" applyFont="1" applyFill="1" applyAlignment="1">
      <alignment horizontal="right" vertical="center" wrapText="1"/>
    </xf>
    <xf numFmtId="0" fontId="29" fillId="2" borderId="8" xfId="2" applyFont="1" applyFill="1" applyBorder="1" applyAlignment="1">
      <alignment vertical="center" wrapText="1"/>
    </xf>
    <xf numFmtId="166" fontId="29" fillId="2" borderId="1" xfId="2" applyNumberFormat="1" applyFont="1" applyFill="1" applyBorder="1" applyAlignment="1">
      <alignment horizontal="right" vertical="center" wrapText="1"/>
    </xf>
    <xf numFmtId="0" fontId="28" fillId="2" borderId="16" xfId="2" applyFont="1" applyFill="1" applyBorder="1" applyAlignment="1">
      <alignment vertical="center" wrapText="1"/>
    </xf>
    <xf numFmtId="166" fontId="28" fillId="2" borderId="17" xfId="2" applyNumberFormat="1" applyFont="1" applyFill="1" applyBorder="1" applyAlignment="1">
      <alignment horizontal="right" vertical="center" wrapText="1"/>
    </xf>
    <xf numFmtId="166" fontId="25" fillId="2" borderId="0" xfId="2" applyNumberFormat="1" applyFont="1" applyFill="1" applyAlignment="1">
      <alignment horizontal="right" vertical="center" wrapText="1"/>
    </xf>
    <xf numFmtId="166" fontId="25" fillId="2" borderId="1" xfId="2" applyNumberFormat="1" applyFont="1" applyFill="1" applyBorder="1" applyAlignment="1">
      <alignment horizontal="right" vertical="center" wrapText="1"/>
    </xf>
    <xf numFmtId="0" fontId="28" fillId="2" borderId="8" xfId="2" applyFont="1" applyFill="1" applyBorder="1" applyAlignment="1">
      <alignment vertical="center" wrapText="1"/>
    </xf>
    <xf numFmtId="0" fontId="28" fillId="0" borderId="8" xfId="2" applyFont="1" applyBorder="1" applyAlignment="1">
      <alignment vertical="center" wrapText="1"/>
    </xf>
    <xf numFmtId="0" fontId="29" fillId="0" borderId="8" xfId="2" applyFont="1" applyBorder="1" applyAlignment="1">
      <alignment vertical="center" wrapText="1"/>
    </xf>
    <xf numFmtId="167" fontId="25" fillId="2" borderId="0" xfId="2" applyNumberFormat="1" applyFont="1" applyFill="1" applyAlignment="1">
      <alignment horizontal="right" vertical="center" wrapText="1"/>
    </xf>
    <xf numFmtId="167" fontId="25" fillId="2" borderId="1" xfId="2" applyNumberFormat="1" applyFont="1" applyFill="1" applyBorder="1" applyAlignment="1">
      <alignment horizontal="right" vertical="center" wrapText="1"/>
    </xf>
    <xf numFmtId="0" fontId="25" fillId="2" borderId="0" xfId="2" applyFont="1" applyFill="1" applyAlignment="1">
      <alignment horizontal="right" vertical="center" wrapText="1"/>
    </xf>
    <xf numFmtId="0" fontId="25" fillId="2" borderId="1" xfId="2" applyFont="1" applyFill="1" applyBorder="1" applyAlignment="1">
      <alignment horizontal="right" vertical="center" wrapText="1"/>
    </xf>
    <xf numFmtId="0" fontId="29" fillId="5" borderId="1" xfId="2" applyFont="1" applyFill="1" applyBorder="1" applyAlignment="1">
      <alignment horizontal="right" vertical="center" wrapText="1"/>
    </xf>
    <xf numFmtId="0" fontId="29" fillId="2" borderId="12" xfId="2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right" vertical="center" wrapText="1"/>
    </xf>
    <xf numFmtId="0" fontId="9" fillId="4" borderId="10" xfId="0" applyFont="1" applyFill="1" applyBorder="1" applyAlignment="1">
      <alignment vertical="center" wrapText="1"/>
    </xf>
    <xf numFmtId="0" fontId="35" fillId="2" borderId="0" xfId="0" applyFont="1" applyFill="1" applyAlignment="1">
      <alignment vertical="center"/>
    </xf>
    <xf numFmtId="0" fontId="20" fillId="2" borderId="0" xfId="0" applyFont="1" applyFill="1"/>
    <xf numFmtId="0" fontId="34" fillId="4" borderId="14" xfId="0" applyFont="1" applyFill="1" applyBorder="1" applyAlignment="1">
      <alignment vertical="center"/>
    </xf>
    <xf numFmtId="0" fontId="34" fillId="4" borderId="3" xfId="0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wrapText="1"/>
    </xf>
    <xf numFmtId="0" fontId="25" fillId="5" borderId="0" xfId="2" applyFont="1" applyFill="1"/>
    <xf numFmtId="0" fontId="27" fillId="5" borderId="7" xfId="2" applyFont="1" applyFill="1" applyBorder="1" applyAlignment="1">
      <alignment horizontal="justify" vertical="center" wrapText="1"/>
    </xf>
    <xf numFmtId="0" fontId="25" fillId="2" borderId="3" xfId="2" applyFont="1" applyFill="1" applyBorder="1" applyAlignment="1">
      <alignment horizontal="center" wrapText="1"/>
    </xf>
    <xf numFmtId="0" fontId="25" fillId="5" borderId="3" xfId="2" applyFont="1" applyFill="1" applyBorder="1" applyAlignment="1">
      <alignment horizontal="right" vertical="center" wrapText="1"/>
    </xf>
    <xf numFmtId="0" fontId="25" fillId="5" borderId="4" xfId="2" applyFont="1" applyFill="1" applyBorder="1" applyAlignment="1">
      <alignment horizontal="right" vertical="center" wrapText="1"/>
    </xf>
    <xf numFmtId="0" fontId="27" fillId="5" borderId="8" xfId="2" applyFont="1" applyFill="1" applyBorder="1" applyAlignment="1">
      <alignment horizontal="justify" vertical="center" wrapText="1"/>
    </xf>
    <xf numFmtId="0" fontId="25" fillId="5" borderId="0" xfId="2" applyFont="1" applyFill="1" applyAlignment="1">
      <alignment horizontal="right" vertical="center" wrapText="1"/>
    </xf>
    <xf numFmtId="0" fontId="25" fillId="5" borderId="1" xfId="2" applyFont="1" applyFill="1" applyBorder="1" applyAlignment="1">
      <alignment horizontal="right" vertical="center" wrapText="1"/>
    </xf>
    <xf numFmtId="0" fontId="25" fillId="2" borderId="8" xfId="2" applyFont="1" applyFill="1" applyBorder="1" applyAlignment="1">
      <alignment horizontal="justify" vertical="center" wrapText="1"/>
    </xf>
    <xf numFmtId="3" fontId="25" fillId="5" borderId="0" xfId="2" applyNumberFormat="1" applyFont="1" applyFill="1" applyAlignment="1">
      <alignment horizontal="right" vertical="center" wrapText="1"/>
    </xf>
    <xf numFmtId="3" fontId="25" fillId="5" borderId="1" xfId="2" applyNumberFormat="1" applyFont="1" applyFill="1" applyBorder="1" applyAlignment="1">
      <alignment horizontal="right" vertical="center" wrapText="1"/>
    </xf>
    <xf numFmtId="0" fontId="25" fillId="0" borderId="8" xfId="2" applyFont="1" applyBorder="1" applyAlignment="1">
      <alignment horizontal="justify" vertical="center" wrapText="1"/>
    </xf>
    <xf numFmtId="166" fontId="25" fillId="0" borderId="1" xfId="2" applyNumberFormat="1" applyFont="1" applyBorder="1" applyAlignment="1">
      <alignment horizontal="right" vertical="center" wrapText="1"/>
    </xf>
    <xf numFmtId="0" fontId="25" fillId="2" borderId="8" xfId="2" applyFont="1" applyFill="1" applyBorder="1" applyAlignment="1">
      <alignment vertical="center" wrapText="1"/>
    </xf>
    <xf numFmtId="0" fontId="27" fillId="2" borderId="16" xfId="2" applyFont="1" applyFill="1" applyBorder="1" applyAlignment="1">
      <alignment horizontal="justify" vertical="center" wrapText="1"/>
    </xf>
    <xf numFmtId="166" fontId="27" fillId="2" borderId="17" xfId="2" applyNumberFormat="1" applyFont="1" applyFill="1" applyBorder="1" applyAlignment="1">
      <alignment horizontal="right" vertical="center" wrapText="1"/>
    </xf>
    <xf numFmtId="0" fontId="27" fillId="2" borderId="8" xfId="2" applyFont="1" applyFill="1" applyBorder="1" applyAlignment="1">
      <alignment horizontal="justify" vertical="center" wrapText="1"/>
    </xf>
    <xf numFmtId="0" fontId="25" fillId="0" borderId="8" xfId="2" applyFont="1" applyBorder="1" applyAlignment="1">
      <alignment vertical="center" wrapText="1"/>
    </xf>
    <xf numFmtId="0" fontId="27" fillId="5" borderId="16" xfId="2" applyFont="1" applyFill="1" applyBorder="1" applyAlignment="1">
      <alignment horizontal="justify" vertical="center" wrapText="1"/>
    </xf>
    <xf numFmtId="166" fontId="27" fillId="5" borderId="17" xfId="2" applyNumberFormat="1" applyFont="1" applyFill="1" applyBorder="1" applyAlignment="1">
      <alignment horizontal="right" vertical="center" wrapText="1"/>
    </xf>
    <xf numFmtId="0" fontId="25" fillId="5" borderId="8" xfId="2" applyFont="1" applyFill="1" applyBorder="1" applyAlignment="1">
      <alignment horizontal="justify" vertical="center" wrapText="1"/>
    </xf>
    <xf numFmtId="166" fontId="25" fillId="5" borderId="0" xfId="2" applyNumberFormat="1" applyFont="1" applyFill="1" applyAlignment="1">
      <alignment horizontal="right" vertical="center" wrapText="1"/>
    </xf>
    <xf numFmtId="166" fontId="25" fillId="5" borderId="1" xfId="2" applyNumberFormat="1" applyFont="1" applyFill="1" applyBorder="1" applyAlignment="1">
      <alignment horizontal="right" vertical="center" wrapText="1"/>
    </xf>
    <xf numFmtId="0" fontId="25" fillId="5" borderId="8" xfId="2" applyFont="1" applyFill="1" applyBorder="1" applyAlignment="1">
      <alignment vertical="center"/>
    </xf>
    <xf numFmtId="0" fontId="25" fillId="5" borderId="0" xfId="2" applyFont="1" applyFill="1" applyAlignment="1">
      <alignment horizontal="right" vertical="center"/>
    </xf>
    <xf numFmtId="0" fontId="25" fillId="5" borderId="1" xfId="2" applyFont="1" applyFill="1" applyBorder="1" applyAlignment="1">
      <alignment horizontal="right" vertical="center"/>
    </xf>
    <xf numFmtId="0" fontId="27" fillId="5" borderId="8" xfId="2" applyFont="1" applyFill="1" applyBorder="1" applyAlignment="1">
      <alignment vertical="center"/>
    </xf>
    <xf numFmtId="166" fontId="25" fillId="5" borderId="0" xfId="2" applyNumberFormat="1" applyFont="1" applyFill="1" applyAlignment="1">
      <alignment horizontal="right" vertical="center"/>
    </xf>
    <xf numFmtId="166" fontId="27" fillId="5" borderId="1" xfId="2" applyNumberFormat="1" applyFont="1" applyFill="1" applyBorder="1" applyAlignment="1">
      <alignment horizontal="right" vertical="center" wrapText="1"/>
    </xf>
    <xf numFmtId="0" fontId="31" fillId="0" borderId="8" xfId="0" applyFont="1" applyBorder="1" applyAlignment="1">
      <alignment wrapText="1"/>
    </xf>
    <xf numFmtId="0" fontId="25" fillId="2" borderId="8" xfId="2" applyFont="1" applyFill="1" applyBorder="1" applyAlignment="1">
      <alignment horizontal="left" vertical="center" wrapText="1"/>
    </xf>
    <xf numFmtId="165" fontId="15" fillId="2" borderId="0" xfId="0" applyNumberFormat="1" applyFont="1" applyFill="1" applyAlignment="1">
      <alignment horizontal="right" vertical="center" wrapText="1"/>
    </xf>
    <xf numFmtId="3" fontId="7" fillId="2" borderId="0" xfId="0" applyNumberFormat="1" applyFont="1" applyFill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3" fontId="1" fillId="2" borderId="0" xfId="0" applyNumberFormat="1" applyFont="1" applyFill="1" applyAlignment="1">
      <alignment horizontal="right" vertical="center" wrapText="1"/>
    </xf>
    <xf numFmtId="3" fontId="6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horizontal="right" vertical="center" wrapText="1"/>
    </xf>
    <xf numFmtId="165" fontId="1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0" fontId="7" fillId="2" borderId="0" xfId="0" applyFont="1" applyFill="1"/>
    <xf numFmtId="3" fontId="13" fillId="2" borderId="0" xfId="0" applyNumberFormat="1" applyFont="1" applyFill="1" applyAlignment="1">
      <alignment horizontal="right" vertical="center" wrapText="1"/>
    </xf>
    <xf numFmtId="3" fontId="0" fillId="2" borderId="0" xfId="0" applyNumberFormat="1" applyFill="1"/>
    <xf numFmtId="3" fontId="7" fillId="2" borderId="0" xfId="0" applyNumberFormat="1" applyFont="1" applyFill="1"/>
    <xf numFmtId="0" fontId="3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3" fontId="16" fillId="0" borderId="0" xfId="0" applyNumberFormat="1" applyFont="1" applyAlignment="1">
      <alignment horizontal="right" vertical="center" wrapText="1"/>
    </xf>
    <xf numFmtId="0" fontId="37" fillId="2" borderId="0" xfId="0" applyFont="1" applyFill="1" applyAlignment="1">
      <alignment vertical="center"/>
    </xf>
    <xf numFmtId="0" fontId="34" fillId="4" borderId="6" xfId="0" applyFont="1" applyFill="1" applyBorder="1" applyAlignment="1">
      <alignment horizontal="center" vertical="center" wrapText="1"/>
    </xf>
    <xf numFmtId="0" fontId="34" fillId="4" borderId="13" xfId="0" applyFont="1" applyFill="1" applyBorder="1" applyAlignment="1">
      <alignment vertical="center" wrapText="1"/>
    </xf>
    <xf numFmtId="166" fontId="25" fillId="0" borderId="15" xfId="2" applyNumberFormat="1" applyFont="1" applyBorder="1" applyAlignment="1">
      <alignment horizontal="right" wrapText="1"/>
    </xf>
    <xf numFmtId="166" fontId="27" fillId="0" borderId="0" xfId="2" applyNumberFormat="1" applyFont="1" applyAlignment="1">
      <alignment horizontal="right" wrapText="1"/>
    </xf>
    <xf numFmtId="166" fontId="25" fillId="0" borderId="0" xfId="2" applyNumberFormat="1" applyFont="1" applyAlignment="1">
      <alignment horizontal="right" wrapText="1"/>
    </xf>
    <xf numFmtId="0" fontId="27" fillId="2" borderId="7" xfId="2" applyFont="1" applyFill="1" applyBorder="1" applyAlignment="1">
      <alignment vertical="center" wrapText="1"/>
    </xf>
    <xf numFmtId="0" fontId="25" fillId="0" borderId="3" xfId="2" applyFont="1" applyBorder="1" applyAlignment="1">
      <alignment horizontal="right" vertical="center" wrapText="1"/>
    </xf>
    <xf numFmtId="165" fontId="12" fillId="0" borderId="4" xfId="0" applyNumberFormat="1" applyFont="1" applyBorder="1" applyAlignment="1">
      <alignment horizontal="right" vertical="center" wrapText="1"/>
    </xf>
    <xf numFmtId="0" fontId="27" fillId="2" borderId="16" xfId="2" applyFont="1" applyFill="1" applyBorder="1" applyAlignment="1">
      <alignment vertical="center" wrapText="1"/>
    </xf>
    <xf numFmtId="166" fontId="27" fillId="0" borderId="17" xfId="2" applyNumberFormat="1" applyFont="1" applyBorder="1" applyAlignment="1">
      <alignment horizontal="right" vertical="center" wrapText="1"/>
    </xf>
    <xf numFmtId="0" fontId="27" fillId="2" borderId="8" xfId="2" applyFont="1" applyFill="1" applyBorder="1" applyAlignment="1">
      <alignment vertical="center" wrapText="1"/>
    </xf>
    <xf numFmtId="166" fontId="27" fillId="0" borderId="1" xfId="2" applyNumberFormat="1" applyFont="1" applyBorder="1" applyAlignment="1">
      <alignment horizontal="right" vertical="center" wrapText="1"/>
    </xf>
    <xf numFmtId="166" fontId="25" fillId="0" borderId="1" xfId="2" applyNumberFormat="1" applyFont="1" applyBorder="1" applyAlignment="1">
      <alignment horizontal="right" wrapText="1"/>
    </xf>
    <xf numFmtId="0" fontId="25" fillId="5" borderId="8" xfId="2" applyFont="1" applyFill="1" applyBorder="1" applyAlignment="1">
      <alignment vertical="center" wrapText="1"/>
    </xf>
    <xf numFmtId="0" fontId="25" fillId="2" borderId="16" xfId="2" applyFont="1" applyFill="1" applyBorder="1" applyAlignment="1">
      <alignment vertical="center" wrapText="1"/>
    </xf>
    <xf numFmtId="166" fontId="25" fillId="0" borderId="17" xfId="2" applyNumberFormat="1" applyFont="1" applyBorder="1" applyAlignment="1">
      <alignment horizontal="right" wrapText="1"/>
    </xf>
    <xf numFmtId="0" fontId="27" fillId="5" borderId="16" xfId="2" applyFont="1" applyFill="1" applyBorder="1" applyAlignment="1">
      <alignment vertical="center" wrapText="1"/>
    </xf>
    <xf numFmtId="0" fontId="27" fillId="5" borderId="8" xfId="2" applyFont="1" applyFill="1" applyBorder="1" applyAlignment="1">
      <alignment vertical="center" wrapText="1"/>
    </xf>
    <xf numFmtId="166" fontId="27" fillId="0" borderId="17" xfId="2" applyNumberFormat="1" applyFont="1" applyBorder="1" applyAlignment="1">
      <alignment horizontal="right" wrapText="1"/>
    </xf>
    <xf numFmtId="0" fontId="27" fillId="5" borderId="18" xfId="2" applyFont="1" applyFill="1" applyBorder="1" applyAlignment="1">
      <alignment vertical="center" wrapText="1"/>
    </xf>
    <xf numFmtId="166" fontId="27" fillId="0" borderId="19" xfId="2" applyNumberFormat="1" applyFont="1" applyBorder="1" applyAlignment="1">
      <alignment horizontal="right" vertical="center" wrapText="1"/>
    </xf>
    <xf numFmtId="166" fontId="27" fillId="0" borderId="20" xfId="2" applyNumberFormat="1" applyFont="1" applyBorder="1" applyAlignment="1">
      <alignment horizontal="right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27" fillId="5" borderId="3" xfId="2" applyFont="1" applyFill="1" applyBorder="1" applyAlignment="1">
      <alignment horizontal="justify" vertical="center" wrapText="1"/>
    </xf>
    <xf numFmtId="0" fontId="27" fillId="5" borderId="0" xfId="2" applyFont="1" applyFill="1" applyAlignment="1">
      <alignment horizontal="justify" vertical="center" wrapText="1"/>
    </xf>
    <xf numFmtId="0" fontId="25" fillId="2" borderId="0" xfId="2" applyFont="1" applyFill="1" applyAlignment="1">
      <alignment horizontal="justify" vertical="center" wrapText="1"/>
    </xf>
    <xf numFmtId="0" fontId="25" fillId="2" borderId="0" xfId="2" applyFont="1" applyFill="1" applyAlignment="1">
      <alignment vertical="center" wrapText="1"/>
    </xf>
    <xf numFmtId="0" fontId="27" fillId="2" borderId="0" xfId="2" applyFont="1" applyFill="1" applyAlignment="1">
      <alignment horizontal="justify" vertical="center" wrapText="1"/>
    </xf>
    <xf numFmtId="0" fontId="25" fillId="5" borderId="0" xfId="2" applyFont="1" applyFill="1" applyAlignment="1">
      <alignment horizontal="justify" vertical="center" wrapText="1"/>
    </xf>
    <xf numFmtId="0" fontId="25" fillId="5" borderId="0" xfId="2" applyFont="1" applyFill="1" applyAlignment="1">
      <alignment vertical="center"/>
    </xf>
    <xf numFmtId="0" fontId="27" fillId="5" borderId="0" xfId="2" applyFont="1" applyFill="1" applyAlignment="1">
      <alignment vertical="center"/>
    </xf>
    <xf numFmtId="0" fontId="34" fillId="4" borderId="9" xfId="0" applyFont="1" applyFill="1" applyBorder="1" applyAlignment="1">
      <alignment vertical="center" wrapText="1"/>
    </xf>
    <xf numFmtId="0" fontId="29" fillId="5" borderId="0" xfId="2" applyFont="1" applyFill="1" applyAlignment="1">
      <alignment vertical="center" wrapText="1"/>
    </xf>
    <xf numFmtId="0" fontId="29" fillId="2" borderId="0" xfId="2" applyFont="1" applyFill="1" applyAlignment="1">
      <alignment vertical="center" wrapText="1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6" xfId="0" applyFont="1" applyBorder="1"/>
    <xf numFmtId="0" fontId="7" fillId="0" borderId="6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27" fillId="2" borderId="3" xfId="2" applyFont="1" applyFill="1" applyBorder="1" applyAlignment="1">
      <alignment vertical="center" wrapText="1"/>
    </xf>
    <xf numFmtId="0" fontId="25" fillId="5" borderId="0" xfId="2" applyFont="1" applyFill="1" applyAlignment="1">
      <alignment vertical="center" wrapText="1"/>
    </xf>
    <xf numFmtId="166" fontId="25" fillId="2" borderId="0" xfId="2" quotePrefix="1" applyNumberFormat="1" applyFont="1" applyFill="1" applyAlignment="1">
      <alignment horizontal="right" vertical="center" wrapText="1"/>
    </xf>
    <xf numFmtId="166" fontId="25" fillId="2" borderId="1" xfId="2" quotePrefix="1" applyNumberFormat="1" applyFont="1" applyFill="1" applyBorder="1" applyAlignment="1">
      <alignment horizontal="right" vertical="center" wrapText="1"/>
    </xf>
    <xf numFmtId="0" fontId="36" fillId="0" borderId="1" xfId="0" applyFont="1" applyBorder="1" applyAlignment="1">
      <alignment horizontal="right"/>
    </xf>
    <xf numFmtId="165" fontId="2" fillId="2" borderId="4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/>
    <xf numFmtId="3" fontId="6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/>
    <xf numFmtId="3" fontId="7" fillId="2" borderId="13" xfId="0" applyNumberFormat="1" applyFont="1" applyFill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3" fillId="2" borderId="6" xfId="0" applyNumberFormat="1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horizontal="right" vertical="center" wrapText="1"/>
    </xf>
    <xf numFmtId="3" fontId="25" fillId="5" borderId="0" xfId="2" quotePrefix="1" applyNumberFormat="1" applyFont="1" applyFill="1" applyAlignment="1">
      <alignment horizontal="right" vertical="center" wrapText="1"/>
    </xf>
    <xf numFmtId="166" fontId="29" fillId="2" borderId="0" xfId="2" quotePrefix="1" applyNumberFormat="1" applyFont="1" applyFill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168" fontId="29" fillId="5" borderId="0" xfId="2" applyNumberFormat="1" applyFont="1" applyFill="1" applyAlignment="1">
      <alignment horizontal="right" vertical="center" wrapText="1"/>
    </xf>
    <xf numFmtId="168" fontId="25" fillId="2" borderId="0" xfId="2" applyNumberFormat="1" applyFont="1" applyFill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21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5" fillId="0" borderId="22" xfId="2" applyNumberFormat="1" applyFont="1" applyBorder="1" applyAlignment="1">
      <alignment horizontal="right" vertical="center" wrapText="1"/>
    </xf>
    <xf numFmtId="0" fontId="38" fillId="3" borderId="7" xfId="0" applyFont="1" applyFill="1" applyBorder="1"/>
    <xf numFmtId="17" fontId="38" fillId="3" borderId="3" xfId="0" applyNumberFormat="1" applyFont="1" applyFill="1" applyBorder="1"/>
    <xf numFmtId="17" fontId="38" fillId="3" borderId="4" xfId="0" applyNumberFormat="1" applyFont="1" applyFill="1" applyBorder="1"/>
    <xf numFmtId="0" fontId="39" fillId="5" borderId="8" xfId="2" applyFont="1" applyFill="1" applyBorder="1" applyAlignment="1">
      <alignment vertical="center" wrapText="1"/>
    </xf>
    <xf numFmtId="166" fontId="39" fillId="5" borderId="0" xfId="2" applyNumberFormat="1" applyFont="1" applyFill="1" applyAlignment="1">
      <alignment horizontal="right" vertical="center" wrapText="1"/>
    </xf>
    <xf numFmtId="166" fontId="39" fillId="5" borderId="1" xfId="2" applyNumberFormat="1" applyFont="1" applyFill="1" applyBorder="1" applyAlignment="1">
      <alignment horizontal="right" vertical="center" wrapText="1"/>
    </xf>
    <xf numFmtId="0" fontId="39" fillId="5" borderId="13" xfId="2" applyFont="1" applyFill="1" applyBorder="1" applyAlignment="1">
      <alignment vertical="center" wrapText="1"/>
    </xf>
    <xf numFmtId="166" fontId="39" fillId="5" borderId="6" xfId="2" applyNumberFormat="1" applyFont="1" applyFill="1" applyBorder="1" applyAlignment="1">
      <alignment horizontal="right" vertical="center" wrapText="1"/>
    </xf>
    <xf numFmtId="166" fontId="39" fillId="5" borderId="12" xfId="2" applyNumberFormat="1" applyFont="1" applyFill="1" applyBorder="1" applyAlignment="1">
      <alignment horizontal="right" vertical="center" wrapText="1"/>
    </xf>
    <xf numFmtId="0" fontId="39" fillId="5" borderId="21" xfId="2" applyFont="1" applyFill="1" applyBorder="1" applyAlignment="1">
      <alignment vertical="center" wrapText="1"/>
    </xf>
    <xf numFmtId="166" fontId="39" fillId="5" borderId="24" xfId="2" applyNumberFormat="1" applyFont="1" applyFill="1" applyBorder="1" applyAlignment="1">
      <alignment horizontal="right" vertical="center" wrapText="1"/>
    </xf>
    <xf numFmtId="166" fontId="39" fillId="5" borderId="23" xfId="2" applyNumberFormat="1" applyFont="1" applyFill="1" applyBorder="1" applyAlignment="1">
      <alignment horizontal="right" vertical="center" wrapText="1"/>
    </xf>
    <xf numFmtId="165" fontId="2" fillId="2" borderId="3" xfId="0" applyNumberFormat="1" applyFont="1" applyFill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66" fontId="25" fillId="0" borderId="25" xfId="2" applyNumberFormat="1" applyFont="1" applyBorder="1" applyAlignment="1">
      <alignment horizontal="right" vertical="center" wrapText="1"/>
    </xf>
    <xf numFmtId="166" fontId="25" fillId="0" borderId="24" xfId="2" applyNumberFormat="1" applyFont="1" applyBorder="1" applyAlignment="1">
      <alignment horizontal="right" vertical="center" wrapText="1"/>
    </xf>
    <xf numFmtId="0" fontId="20" fillId="0" borderId="0" xfId="0" applyFont="1"/>
    <xf numFmtId="0" fontId="34" fillId="4" borderId="10" xfId="0" applyFont="1" applyFill="1" applyBorder="1" applyAlignment="1">
      <alignment vertical="center" wrapText="1"/>
    </xf>
    <xf numFmtId="0" fontId="34" fillId="4" borderId="10" xfId="0" applyFont="1" applyFill="1" applyBorder="1" applyAlignment="1">
      <alignment horizontal="center" vertical="center"/>
    </xf>
    <xf numFmtId="166" fontId="27" fillId="5" borderId="0" xfId="2" applyNumberFormat="1" applyFont="1" applyFill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29" fillId="0" borderId="0" xfId="2" applyFont="1" applyAlignment="1">
      <alignment vertical="center" wrapText="1"/>
    </xf>
    <xf numFmtId="168" fontId="29" fillId="5" borderId="1" xfId="2" applyNumberFormat="1" applyFont="1" applyFill="1" applyBorder="1" applyAlignment="1">
      <alignment horizontal="right" vertical="center" wrapText="1"/>
    </xf>
    <xf numFmtId="166" fontId="27" fillId="5" borderId="0" xfId="2" applyNumberFormat="1" applyFont="1" applyFill="1" applyAlignment="1">
      <alignment vertical="center" wrapText="1"/>
    </xf>
    <xf numFmtId="0" fontId="34" fillId="4" borderId="13" xfId="0" applyFont="1" applyFill="1" applyBorder="1" applyAlignment="1">
      <alignment horizontal="center" vertical="center" wrapText="1"/>
    </xf>
    <xf numFmtId="166" fontId="27" fillId="0" borderId="22" xfId="2" applyNumberFormat="1" applyFont="1" applyBorder="1" applyAlignment="1">
      <alignment horizontal="right" vertical="center" wrapText="1"/>
    </xf>
    <xf numFmtId="0" fontId="0" fillId="0" borderId="4" xfId="0" applyBorder="1"/>
    <xf numFmtId="0" fontId="0" fillId="0" borderId="3" xfId="0" applyBorder="1"/>
    <xf numFmtId="166" fontId="27" fillId="0" borderId="25" xfId="2" applyNumberFormat="1" applyFont="1" applyBorder="1" applyAlignment="1">
      <alignment horizontal="right" vertical="center" wrapText="1"/>
    </xf>
    <xf numFmtId="0" fontId="34" fillId="4" borderId="11" xfId="0" applyFont="1" applyFill="1" applyBorder="1" applyAlignment="1">
      <alignment horizontal="center" vertical="center" wrapText="1"/>
    </xf>
    <xf numFmtId="168" fontId="25" fillId="2" borderId="1" xfId="2" applyNumberFormat="1" applyFont="1" applyFill="1" applyBorder="1" applyAlignment="1">
      <alignment horizontal="right" vertical="center" wrapText="1"/>
    </xf>
    <xf numFmtId="0" fontId="34" fillId="4" borderId="12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/>
    </xf>
    <xf numFmtId="0" fontId="0" fillId="3" borderId="3" xfId="0" applyFill="1" applyBorder="1"/>
    <xf numFmtId="3" fontId="7" fillId="2" borderId="12" xfId="0" applyNumberFormat="1" applyFont="1" applyFill="1" applyBorder="1" applyAlignment="1">
      <alignment horizontal="right" vertical="center" wrapText="1"/>
    </xf>
    <xf numFmtId="0" fontId="32" fillId="0" borderId="13" xfId="2" applyFont="1" applyBorder="1" applyAlignment="1">
      <alignment horizontal="left" vertical="center" wrapText="1"/>
    </xf>
    <xf numFmtId="0" fontId="32" fillId="0" borderId="6" xfId="2" applyFont="1" applyBorder="1" applyAlignment="1">
      <alignment horizontal="left" vertical="center" wrapText="1"/>
    </xf>
    <xf numFmtId="0" fontId="32" fillId="0" borderId="12" xfId="2" applyFont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4" fillId="4" borderId="9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center" vertical="center" wrapText="1"/>
    </xf>
    <xf numFmtId="0" fontId="29" fillId="0" borderId="0" xfId="2" applyFont="1" applyAlignment="1">
      <alignment horizontal="left" vertical="center" wrapText="1"/>
    </xf>
    <xf numFmtId="0" fontId="0" fillId="0" borderId="0" xfId="0" applyFill="1"/>
    <xf numFmtId="3" fontId="7" fillId="2" borderId="0" xfId="0" applyNumberFormat="1" applyFont="1" applyFill="1" applyBorder="1" applyAlignment="1">
      <alignment horizontal="right" vertical="center" wrapText="1"/>
    </xf>
    <xf numFmtId="3" fontId="25" fillId="5" borderId="0" xfId="2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/>
    <xf numFmtId="3" fontId="6" fillId="2" borderId="0" xfId="0" applyNumberFormat="1" applyFont="1" applyFill="1" applyBorder="1" applyAlignment="1">
      <alignment horizontal="right" vertical="center" wrapText="1"/>
    </xf>
    <xf numFmtId="165" fontId="2" fillId="2" borderId="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/>
    <xf numFmtId="166" fontId="29" fillId="5" borderId="0" xfId="2" applyNumberFormat="1" applyFont="1" applyFill="1" applyBorder="1" applyAlignment="1">
      <alignment horizontal="right" vertical="center" wrapText="1"/>
    </xf>
    <xf numFmtId="3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4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vertical="center"/>
    </xf>
    <xf numFmtId="167" fontId="25" fillId="2" borderId="0" xfId="2" applyNumberFormat="1" applyFont="1" applyFill="1" applyBorder="1" applyAlignment="1">
      <alignment horizontal="right" vertical="center" wrapText="1"/>
    </xf>
    <xf numFmtId="168" fontId="29" fillId="5" borderId="0" xfId="2" applyNumberFormat="1" applyFont="1" applyFill="1" applyBorder="1" applyAlignment="1">
      <alignment horizontal="right" vertical="center" wrapText="1"/>
    </xf>
    <xf numFmtId="168" fontId="25" fillId="2" borderId="0" xfId="2" applyNumberFormat="1" applyFont="1" applyFill="1" applyBorder="1" applyAlignment="1">
      <alignment horizontal="right" vertical="center" wrapText="1"/>
    </xf>
    <xf numFmtId="166" fontId="25" fillId="0" borderId="0" xfId="2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vertical="center" wrapText="1"/>
    </xf>
    <xf numFmtId="3" fontId="21" fillId="0" borderId="0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166" fontId="39" fillId="5" borderId="0" xfId="2" applyNumberFormat="1" applyFont="1" applyFill="1" applyBorder="1" applyAlignment="1">
      <alignment horizontal="right" vertical="center" wrapText="1"/>
    </xf>
  </cellXfs>
  <cellStyles count="9">
    <cellStyle name="Dziesiętny 2" xfId="7" xr:uid="{00000000-0005-0000-0000-000000000000}"/>
    <cellStyle name="Dziesiętny 2 2" xfId="8" xr:uid="{00000000-0005-0000-0000-000001000000}"/>
    <cellStyle name="Dziesiętny 3" xfId="6" xr:uid="{00000000-0005-0000-0000-000002000000}"/>
    <cellStyle name="Normal 2" xfId="1" xr:uid="{00000000-0005-0000-0000-000003000000}"/>
    <cellStyle name="Normal 3" xfId="4" xr:uid="{00000000-0005-0000-0000-000004000000}"/>
    <cellStyle name="Normal 3 2" xfId="2" xr:uid="{00000000-0005-0000-0000-000005000000}"/>
    <cellStyle name="Normalny" xfId="0" builtinId="0"/>
    <cellStyle name="Normalny 2" xfId="3" xr:uid="{00000000-0005-0000-0000-000007000000}"/>
    <cellStyle name="Procentowy 2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60"/>
  <sheetViews>
    <sheetView showGridLines="0" tabSelected="1" zoomScaleNormal="100" workbookViewId="0">
      <pane xSplit="2" ySplit="4" topLeftCell="AQ5" activePane="bottomRight" state="frozen"/>
      <selection pane="topRight" activeCell="C1" sqref="C1"/>
      <selection pane="bottomLeft" activeCell="A5" sqref="A5"/>
      <selection pane="bottomRight" activeCell="AR60" sqref="AR60"/>
    </sheetView>
  </sheetViews>
  <sheetFormatPr defaultColWidth="9" defaultRowHeight="13.8"/>
  <cols>
    <col min="1" max="1" width="3.19921875" style="5" customWidth="1"/>
    <col min="2" max="2" width="31.5" style="5" customWidth="1"/>
    <col min="3" max="3" width="12.796875" style="5" customWidth="1"/>
    <col min="4" max="4" width="10.8984375" style="5" customWidth="1"/>
    <col min="5" max="5" width="10.09765625" style="5" customWidth="1"/>
    <col min="6" max="6" width="9.69921875" style="5" customWidth="1"/>
    <col min="7" max="7" width="8.69921875" style="5" customWidth="1"/>
    <col min="8" max="8" width="11.5" style="5" customWidth="1"/>
    <col min="9" max="9" width="9.8984375" style="5" customWidth="1"/>
    <col min="10" max="10" width="9.09765625" style="5" bestFit="1" customWidth="1"/>
    <col min="11" max="12" width="9.3984375" style="5" bestFit="1" customWidth="1"/>
    <col min="13" max="16" width="9.69921875" style="5" bestFit="1" customWidth="1"/>
    <col min="17" max="17" width="9.19921875" style="5" customWidth="1"/>
    <col min="18" max="21" width="9.69921875" style="5" customWidth="1"/>
    <col min="22" max="16384" width="9" style="5"/>
  </cols>
  <sheetData>
    <row r="1" spans="1:45" ht="58.5" customHeight="1">
      <c r="A1" s="2"/>
      <c r="B1" s="98"/>
      <c r="C1" s="98"/>
      <c r="D1" s="98"/>
      <c r="E1" s="98"/>
      <c r="F1" s="98"/>
      <c r="G1" s="264" t="s">
        <v>0</v>
      </c>
      <c r="H1" s="264"/>
      <c r="I1" s="264"/>
      <c r="J1" s="264"/>
      <c r="K1" s="264"/>
      <c r="L1" s="264"/>
      <c r="M1" s="101"/>
      <c r="N1" s="101"/>
      <c r="O1" s="102"/>
      <c r="P1" s="102"/>
      <c r="Q1" s="102"/>
      <c r="R1" s="102"/>
      <c r="S1" s="102"/>
      <c r="T1" s="102"/>
      <c r="U1" s="102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 s="269"/>
    </row>
    <row r="2" spans="1:45" ht="14.4" thickBot="1">
      <c r="A2" s="2"/>
      <c r="B2" s="6"/>
      <c r="C2" s="6"/>
      <c r="D2" s="6"/>
      <c r="E2" s="6"/>
      <c r="F2" s="6"/>
      <c r="G2" s="6"/>
      <c r="H2" s="6"/>
      <c r="I2" s="6"/>
      <c r="J2" s="14"/>
      <c r="K2" s="14"/>
      <c r="L2" s="14"/>
      <c r="M2" s="2"/>
      <c r="N2" s="2"/>
      <c r="O2" s="2"/>
      <c r="P2" s="2"/>
      <c r="Q2" s="2"/>
      <c r="R2" s="2"/>
      <c r="S2" s="2"/>
      <c r="T2" s="2"/>
      <c r="U2" s="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 s="269"/>
    </row>
    <row r="3" spans="1:45" ht="24.9" customHeight="1" thickBot="1">
      <c r="A3" s="2"/>
      <c r="B3" s="67" t="s">
        <v>49</v>
      </c>
      <c r="C3" s="187"/>
      <c r="D3" s="241"/>
      <c r="E3" s="241"/>
      <c r="F3" s="241"/>
      <c r="G3" s="241"/>
      <c r="H3" s="241"/>
      <c r="I3" s="241"/>
      <c r="J3" s="100"/>
      <c r="K3" s="100"/>
      <c r="L3" s="100"/>
      <c r="M3" s="262"/>
      <c r="N3" s="263"/>
      <c r="O3" s="263"/>
      <c r="P3" s="263"/>
      <c r="Q3" s="263"/>
      <c r="R3" s="263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8"/>
    </row>
    <row r="4" spans="1:45" ht="24.9" customHeight="1" thickBot="1">
      <c r="A4" s="2"/>
      <c r="B4" s="103" t="s">
        <v>47</v>
      </c>
      <c r="C4" s="256">
        <v>2025</v>
      </c>
      <c r="D4" s="256">
        <v>2024</v>
      </c>
      <c r="E4" s="256">
        <v>2023</v>
      </c>
      <c r="F4" s="256">
        <v>2022</v>
      </c>
      <c r="G4" s="256">
        <v>2021</v>
      </c>
      <c r="H4" s="242">
        <v>2020</v>
      </c>
      <c r="I4" s="242">
        <v>2019</v>
      </c>
      <c r="J4" s="104">
        <v>2018</v>
      </c>
      <c r="K4" s="104" t="s">
        <v>113</v>
      </c>
      <c r="L4" s="104">
        <v>2016</v>
      </c>
      <c r="M4" s="71" t="s">
        <v>48</v>
      </c>
      <c r="N4" s="70" t="s">
        <v>26</v>
      </c>
      <c r="O4" s="70" t="s">
        <v>25</v>
      </c>
      <c r="P4" s="70" t="s">
        <v>24</v>
      </c>
      <c r="Q4" s="70" t="s">
        <v>27</v>
      </c>
      <c r="R4" s="70" t="s">
        <v>28</v>
      </c>
      <c r="S4" s="70" t="s">
        <v>114</v>
      </c>
      <c r="T4" s="70" t="s">
        <v>115</v>
      </c>
      <c r="U4" s="70" t="s">
        <v>116</v>
      </c>
      <c r="V4" s="70" t="s">
        <v>131</v>
      </c>
      <c r="W4" s="70" t="s">
        <v>132</v>
      </c>
      <c r="X4" s="70" t="s">
        <v>133</v>
      </c>
      <c r="Y4" s="70" t="s">
        <v>138</v>
      </c>
      <c r="Z4" s="70" t="s">
        <v>140</v>
      </c>
      <c r="AA4" s="70" t="s">
        <v>141</v>
      </c>
      <c r="AB4" s="70" t="s">
        <v>142</v>
      </c>
      <c r="AC4" s="70" t="s">
        <v>143</v>
      </c>
      <c r="AD4" s="70" t="s">
        <v>144</v>
      </c>
      <c r="AE4" s="70" t="s">
        <v>145</v>
      </c>
      <c r="AF4" s="70" t="s">
        <v>146</v>
      </c>
      <c r="AG4" s="70" t="s">
        <v>147</v>
      </c>
      <c r="AH4" s="70" t="s">
        <v>148</v>
      </c>
      <c r="AI4" s="70" t="s">
        <v>149</v>
      </c>
      <c r="AJ4" s="70" t="s">
        <v>150</v>
      </c>
      <c r="AK4" s="70" t="s">
        <v>151</v>
      </c>
      <c r="AL4" s="70" t="s">
        <v>152</v>
      </c>
      <c r="AM4" s="70" t="s">
        <v>153</v>
      </c>
      <c r="AN4" s="70" t="s">
        <v>154</v>
      </c>
      <c r="AO4" s="70" t="s">
        <v>155</v>
      </c>
      <c r="AP4" s="70" t="s">
        <v>156</v>
      </c>
      <c r="AQ4" s="70" t="s">
        <v>163</v>
      </c>
      <c r="AR4" s="70" t="s">
        <v>164</v>
      </c>
      <c r="AS4" s="253" t="s">
        <v>167</v>
      </c>
    </row>
    <row r="5" spans="1:45" ht="20.100000000000001" customHeight="1">
      <c r="A5" s="8"/>
      <c r="B5" s="107"/>
      <c r="C5" s="179"/>
      <c r="D5" s="179"/>
      <c r="E5" s="179"/>
      <c r="F5" s="179"/>
      <c r="G5" s="179"/>
      <c r="H5" s="179"/>
      <c r="I5" s="179"/>
      <c r="J5" s="108"/>
      <c r="K5" s="109"/>
      <c r="L5" s="110"/>
      <c r="M5" s="10"/>
      <c r="N5" s="10"/>
      <c r="O5" s="2"/>
      <c r="P5" s="137"/>
      <c r="Q5" s="10"/>
      <c r="R5" s="10"/>
      <c r="S5" s="10"/>
      <c r="T5" s="10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36"/>
      <c r="AS5" s="202"/>
    </row>
    <row r="6" spans="1:45" ht="20.100000000000001" customHeight="1">
      <c r="A6" s="8"/>
      <c r="B6" s="111" t="s">
        <v>12</v>
      </c>
      <c r="C6" s="180"/>
      <c r="D6" s="180"/>
      <c r="E6" s="180"/>
      <c r="F6" s="180"/>
      <c r="G6" s="180"/>
      <c r="H6" s="180"/>
      <c r="I6" s="180"/>
      <c r="J6" s="105"/>
      <c r="K6" s="112"/>
      <c r="L6" s="113"/>
      <c r="M6" s="138"/>
      <c r="N6" s="139"/>
      <c r="O6" s="139"/>
      <c r="P6" s="139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270"/>
      <c r="AS6" s="203"/>
    </row>
    <row r="7" spans="1:45" ht="20.100000000000001" customHeight="1">
      <c r="A7" s="8"/>
      <c r="B7" s="114" t="s">
        <v>50</v>
      </c>
      <c r="C7" s="87">
        <v>33504</v>
      </c>
      <c r="D7" s="87">
        <v>34926</v>
      </c>
      <c r="E7" s="87">
        <v>34944</v>
      </c>
      <c r="F7" s="87">
        <v>27043</v>
      </c>
      <c r="G7" s="87">
        <v>20561</v>
      </c>
      <c r="H7" s="87">
        <v>12726</v>
      </c>
      <c r="I7" s="87">
        <v>7897</v>
      </c>
      <c r="J7" s="87">
        <v>5508</v>
      </c>
      <c r="K7" s="115">
        <v>5388</v>
      </c>
      <c r="L7" s="116">
        <v>5105</v>
      </c>
      <c r="M7" s="115">
        <v>5180</v>
      </c>
      <c r="N7" s="115">
        <v>4844</v>
      </c>
      <c r="O7" s="115">
        <v>5006</v>
      </c>
      <c r="P7" s="115">
        <f>J7</f>
        <v>5508</v>
      </c>
      <c r="Q7" s="115">
        <v>5184</v>
      </c>
      <c r="R7" s="115">
        <v>4718</v>
      </c>
      <c r="S7" s="115">
        <v>5760</v>
      </c>
      <c r="T7" s="115">
        <f>I7</f>
        <v>7897</v>
      </c>
      <c r="U7" s="115">
        <v>8284</v>
      </c>
      <c r="V7" s="115">
        <v>9196</v>
      </c>
      <c r="W7" s="115">
        <v>11819</v>
      </c>
      <c r="X7" s="115">
        <f>H7</f>
        <v>12726</v>
      </c>
      <c r="Y7" s="115">
        <v>13564</v>
      </c>
      <c r="Z7" s="115">
        <v>14564</v>
      </c>
      <c r="AA7" s="115">
        <v>15786</v>
      </c>
      <c r="AB7" s="115">
        <f t="shared" ref="AB7:AB12" si="0">G7</f>
        <v>20561</v>
      </c>
      <c r="AC7" s="115">
        <v>21939</v>
      </c>
      <c r="AD7" s="115">
        <v>23520</v>
      </c>
      <c r="AE7" s="115">
        <v>24877</v>
      </c>
      <c r="AF7" s="115">
        <f t="shared" ref="AF7:AF12" si="1">F7</f>
        <v>27043</v>
      </c>
      <c r="AG7" s="115">
        <v>29036</v>
      </c>
      <c r="AH7" s="115">
        <v>31535</v>
      </c>
      <c r="AI7" s="115">
        <v>33628</v>
      </c>
      <c r="AJ7" s="115">
        <f t="shared" ref="AJ7:AJ12" si="2">E7</f>
        <v>34944</v>
      </c>
      <c r="AK7" s="115">
        <v>34718</v>
      </c>
      <c r="AL7" s="115">
        <v>34670</v>
      </c>
      <c r="AM7" s="115">
        <v>34685</v>
      </c>
      <c r="AN7" s="115">
        <f t="shared" ref="AN7:AN12" si="3">D7</f>
        <v>34926</v>
      </c>
      <c r="AO7" s="115">
        <v>34029</v>
      </c>
      <c r="AP7" s="115">
        <v>33385</v>
      </c>
      <c r="AQ7" s="115">
        <v>33805</v>
      </c>
      <c r="AR7" s="271">
        <f>C7</f>
        <v>33504</v>
      </c>
      <c r="AS7" s="116">
        <v>33149</v>
      </c>
    </row>
    <row r="8" spans="1:45" ht="20.100000000000001" customHeight="1">
      <c r="A8" s="7"/>
      <c r="B8" s="114" t="s">
        <v>13</v>
      </c>
      <c r="C8" s="87">
        <v>524623</v>
      </c>
      <c r="D8" s="87">
        <v>381275</v>
      </c>
      <c r="E8" s="87">
        <v>331960</v>
      </c>
      <c r="F8" s="87">
        <v>251080</v>
      </c>
      <c r="G8" s="87">
        <v>169337</v>
      </c>
      <c r="H8" s="87">
        <v>132257</v>
      </c>
      <c r="I8" s="87">
        <v>125953</v>
      </c>
      <c r="J8" s="87">
        <v>60090</v>
      </c>
      <c r="K8" s="87">
        <v>51633</v>
      </c>
      <c r="L8" s="88">
        <v>34697</v>
      </c>
      <c r="M8" s="115">
        <v>52636</v>
      </c>
      <c r="N8" s="115">
        <v>52384</v>
      </c>
      <c r="O8" s="115">
        <v>59968</v>
      </c>
      <c r="P8" s="115">
        <f t="shared" ref="P8:P12" si="4">J8</f>
        <v>60090</v>
      </c>
      <c r="Q8" s="115">
        <v>110146</v>
      </c>
      <c r="R8" s="115">
        <v>122257</v>
      </c>
      <c r="S8" s="115">
        <v>123657</v>
      </c>
      <c r="T8" s="115">
        <f t="shared" ref="T8:T12" si="5">I8</f>
        <v>125953</v>
      </c>
      <c r="U8" s="115">
        <v>130949</v>
      </c>
      <c r="V8" s="115">
        <v>127520</v>
      </c>
      <c r="W8" s="115">
        <v>129418</v>
      </c>
      <c r="X8" s="115">
        <f t="shared" ref="X8:X57" si="6">H8</f>
        <v>132257</v>
      </c>
      <c r="Y8" s="115">
        <v>132437</v>
      </c>
      <c r="Z8" s="115">
        <v>143482</v>
      </c>
      <c r="AA8" s="115">
        <v>161957</v>
      </c>
      <c r="AB8" s="115">
        <f t="shared" si="0"/>
        <v>169337</v>
      </c>
      <c r="AC8" s="115">
        <v>174515</v>
      </c>
      <c r="AD8" s="115">
        <v>196231</v>
      </c>
      <c r="AE8" s="115">
        <v>248243</v>
      </c>
      <c r="AF8" s="115">
        <f t="shared" si="1"/>
        <v>251080</v>
      </c>
      <c r="AG8" s="115">
        <v>255430</v>
      </c>
      <c r="AH8" s="115">
        <v>266704</v>
      </c>
      <c r="AI8" s="115">
        <v>267982</v>
      </c>
      <c r="AJ8" s="115">
        <f t="shared" si="2"/>
        <v>331960</v>
      </c>
      <c r="AK8" s="115">
        <v>343896</v>
      </c>
      <c r="AL8" s="115">
        <v>364959</v>
      </c>
      <c r="AM8" s="115">
        <v>367120</v>
      </c>
      <c r="AN8" s="115">
        <f t="shared" si="3"/>
        <v>381275</v>
      </c>
      <c r="AO8" s="115">
        <v>443373</v>
      </c>
      <c r="AP8" s="115">
        <v>447626</v>
      </c>
      <c r="AQ8" s="115">
        <v>485865</v>
      </c>
      <c r="AR8" s="271">
        <f t="shared" ref="AR8:AS12" si="7">C8</f>
        <v>524623</v>
      </c>
      <c r="AS8" s="116">
        <v>516311</v>
      </c>
    </row>
    <row r="9" spans="1:45" ht="20.100000000000001" customHeight="1">
      <c r="A9" s="7"/>
      <c r="B9" s="117" t="s">
        <v>51</v>
      </c>
      <c r="C9" s="87">
        <v>110</v>
      </c>
      <c r="D9" s="87">
        <v>110</v>
      </c>
      <c r="E9" s="87">
        <v>110</v>
      </c>
      <c r="F9" s="87">
        <v>110</v>
      </c>
      <c r="G9" s="87">
        <v>110</v>
      </c>
      <c r="H9" s="87">
        <v>110</v>
      </c>
      <c r="I9" s="87">
        <v>110</v>
      </c>
      <c r="J9" s="87">
        <v>110</v>
      </c>
      <c r="K9" s="87">
        <v>110</v>
      </c>
      <c r="L9" s="88">
        <v>110</v>
      </c>
      <c r="M9" s="115">
        <v>110</v>
      </c>
      <c r="N9" s="115">
        <v>110</v>
      </c>
      <c r="O9" s="115">
        <v>110</v>
      </c>
      <c r="P9" s="115">
        <f t="shared" si="4"/>
        <v>110</v>
      </c>
      <c r="Q9" s="115">
        <v>110</v>
      </c>
      <c r="R9" s="115">
        <v>110</v>
      </c>
      <c r="S9" s="115">
        <v>110</v>
      </c>
      <c r="T9" s="115">
        <f t="shared" si="5"/>
        <v>110</v>
      </c>
      <c r="U9" s="115">
        <v>110</v>
      </c>
      <c r="V9" s="115">
        <v>110</v>
      </c>
      <c r="W9" s="115">
        <v>110</v>
      </c>
      <c r="X9" s="115">
        <f t="shared" si="6"/>
        <v>110</v>
      </c>
      <c r="Y9" s="115">
        <v>110</v>
      </c>
      <c r="Z9" s="115">
        <v>110</v>
      </c>
      <c r="AA9" s="115">
        <v>110</v>
      </c>
      <c r="AB9" s="115">
        <f t="shared" si="0"/>
        <v>110</v>
      </c>
      <c r="AC9" s="115">
        <v>110</v>
      </c>
      <c r="AD9" s="115">
        <v>110</v>
      </c>
      <c r="AE9" s="115">
        <v>110</v>
      </c>
      <c r="AF9" s="115">
        <f t="shared" si="1"/>
        <v>110</v>
      </c>
      <c r="AG9" s="115">
        <v>110</v>
      </c>
      <c r="AH9" s="115">
        <v>110</v>
      </c>
      <c r="AI9" s="115">
        <v>110</v>
      </c>
      <c r="AJ9" s="115">
        <f t="shared" si="2"/>
        <v>110</v>
      </c>
      <c r="AK9" s="115">
        <v>110</v>
      </c>
      <c r="AL9" s="115">
        <v>110</v>
      </c>
      <c r="AM9" s="115">
        <v>110</v>
      </c>
      <c r="AN9" s="115">
        <f t="shared" si="3"/>
        <v>110</v>
      </c>
      <c r="AO9" s="115">
        <v>110</v>
      </c>
      <c r="AP9" s="115">
        <v>110</v>
      </c>
      <c r="AQ9" s="115">
        <v>110</v>
      </c>
      <c r="AR9" s="271">
        <f t="shared" si="7"/>
        <v>110</v>
      </c>
      <c r="AS9" s="116">
        <v>110</v>
      </c>
    </row>
    <row r="10" spans="1:45" ht="21.75" customHeight="1">
      <c r="A10" s="8"/>
      <c r="B10" s="114" t="s">
        <v>52</v>
      </c>
      <c r="C10" s="87">
        <v>5998</v>
      </c>
      <c r="D10" s="87">
        <v>4321</v>
      </c>
      <c r="E10" s="87">
        <v>4494</v>
      </c>
      <c r="F10" s="87">
        <v>4299</v>
      </c>
      <c r="G10" s="87">
        <v>3638</v>
      </c>
      <c r="H10" s="87">
        <v>2043</v>
      </c>
      <c r="I10" s="87">
        <v>1896</v>
      </c>
      <c r="J10" s="87">
        <f>1683+19</f>
        <v>1702</v>
      </c>
      <c r="K10" s="87">
        <v>1864</v>
      </c>
      <c r="L10" s="118">
        <v>1675</v>
      </c>
      <c r="M10" s="115">
        <v>1966</v>
      </c>
      <c r="N10" s="115">
        <v>1838</v>
      </c>
      <c r="O10" s="115">
        <v>1786</v>
      </c>
      <c r="P10" s="115">
        <f t="shared" si="4"/>
        <v>1702</v>
      </c>
      <c r="Q10" s="115">
        <v>1755</v>
      </c>
      <c r="R10" s="115">
        <v>1830</v>
      </c>
      <c r="S10" s="115">
        <v>1908</v>
      </c>
      <c r="T10" s="115">
        <f t="shared" si="5"/>
        <v>1896</v>
      </c>
      <c r="U10" s="115">
        <v>1838</v>
      </c>
      <c r="V10" s="115">
        <v>1814</v>
      </c>
      <c r="W10" s="115">
        <v>1818</v>
      </c>
      <c r="X10" s="115">
        <f t="shared" si="6"/>
        <v>2043</v>
      </c>
      <c r="Y10" s="115">
        <v>2229</v>
      </c>
      <c r="Z10" s="115">
        <v>2614</v>
      </c>
      <c r="AA10" s="115">
        <v>3741</v>
      </c>
      <c r="AB10" s="115">
        <f t="shared" si="0"/>
        <v>3638</v>
      </c>
      <c r="AC10" s="115">
        <v>3931</v>
      </c>
      <c r="AD10" s="115">
        <v>4108</v>
      </c>
      <c r="AE10" s="115">
        <v>4082</v>
      </c>
      <c r="AF10" s="115">
        <f t="shared" si="1"/>
        <v>4299</v>
      </c>
      <c r="AG10" s="115">
        <v>4223</v>
      </c>
      <c r="AH10" s="115">
        <v>4226</v>
      </c>
      <c r="AI10" s="115">
        <v>4625</v>
      </c>
      <c r="AJ10" s="115">
        <f t="shared" si="2"/>
        <v>4494</v>
      </c>
      <c r="AK10" s="115">
        <v>4564</v>
      </c>
      <c r="AL10" s="115">
        <v>4985</v>
      </c>
      <c r="AM10" s="115">
        <v>4741</v>
      </c>
      <c r="AN10" s="115">
        <f t="shared" si="3"/>
        <v>4321</v>
      </c>
      <c r="AO10" s="115">
        <v>4073</v>
      </c>
      <c r="AP10" s="115">
        <v>3923</v>
      </c>
      <c r="AQ10" s="115">
        <v>6092</v>
      </c>
      <c r="AR10" s="271">
        <f t="shared" si="7"/>
        <v>5998</v>
      </c>
      <c r="AS10" s="116">
        <v>5570</v>
      </c>
    </row>
    <row r="11" spans="1:45" ht="21.75" customHeight="1">
      <c r="A11" s="8"/>
      <c r="B11" s="114" t="s">
        <v>53</v>
      </c>
      <c r="C11" s="87">
        <v>0</v>
      </c>
      <c r="D11" s="87">
        <v>0</v>
      </c>
      <c r="E11" s="87">
        <v>0</v>
      </c>
      <c r="F11" s="87">
        <v>0</v>
      </c>
      <c r="G11" s="87">
        <v>8</v>
      </c>
      <c r="H11" s="87">
        <v>30</v>
      </c>
      <c r="I11" s="87">
        <v>37</v>
      </c>
      <c r="J11" s="87">
        <v>44</v>
      </c>
      <c r="K11" s="87">
        <v>50</v>
      </c>
      <c r="L11" s="88">
        <v>61</v>
      </c>
      <c r="M11" s="115">
        <v>50</v>
      </c>
      <c r="N11" s="115">
        <v>47</v>
      </c>
      <c r="O11" s="115">
        <v>46</v>
      </c>
      <c r="P11" s="115">
        <f>J11</f>
        <v>44</v>
      </c>
      <c r="Q11" s="115">
        <v>43</v>
      </c>
      <c r="R11" s="115">
        <v>41</v>
      </c>
      <c r="S11" s="115">
        <v>39</v>
      </c>
      <c r="T11" s="115">
        <f t="shared" si="5"/>
        <v>37</v>
      </c>
      <c r="U11" s="115">
        <v>36</v>
      </c>
      <c r="V11" s="115">
        <v>34</v>
      </c>
      <c r="W11" s="115">
        <v>29</v>
      </c>
      <c r="X11" s="115">
        <f t="shared" si="6"/>
        <v>30</v>
      </c>
      <c r="Y11" s="115">
        <v>28</v>
      </c>
      <c r="Z11" s="115">
        <v>8</v>
      </c>
      <c r="AA11" s="115">
        <v>12</v>
      </c>
      <c r="AB11" s="115">
        <f t="shared" si="0"/>
        <v>8</v>
      </c>
      <c r="AC11" s="115">
        <v>3</v>
      </c>
      <c r="AD11" s="115">
        <v>2</v>
      </c>
      <c r="AE11" s="115">
        <v>1</v>
      </c>
      <c r="AF11" s="115">
        <f t="shared" si="1"/>
        <v>0</v>
      </c>
      <c r="AG11" s="115">
        <v>0</v>
      </c>
      <c r="AH11" s="115">
        <v>0</v>
      </c>
      <c r="AI11" s="115">
        <v>0</v>
      </c>
      <c r="AJ11" s="115">
        <f t="shared" si="2"/>
        <v>0</v>
      </c>
      <c r="AK11" s="115">
        <v>0</v>
      </c>
      <c r="AL11" s="115">
        <v>0</v>
      </c>
      <c r="AM11" s="115">
        <v>0</v>
      </c>
      <c r="AN11" s="115">
        <f t="shared" si="3"/>
        <v>0</v>
      </c>
      <c r="AO11" s="115">
        <v>0</v>
      </c>
      <c r="AP11" s="115">
        <v>0</v>
      </c>
      <c r="AQ11" s="115">
        <v>0</v>
      </c>
      <c r="AR11" s="271">
        <f t="shared" si="7"/>
        <v>0</v>
      </c>
      <c r="AS11" s="116">
        <v>0</v>
      </c>
    </row>
    <row r="12" spans="1:45" ht="20.100000000000001" customHeight="1">
      <c r="A12" s="7"/>
      <c r="B12" s="119" t="s">
        <v>54</v>
      </c>
      <c r="C12" s="199">
        <v>539</v>
      </c>
      <c r="D12" s="199">
        <v>1849</v>
      </c>
      <c r="E12" s="199">
        <v>1034</v>
      </c>
      <c r="F12" s="199">
        <v>2158</v>
      </c>
      <c r="G12" s="199">
        <v>1048</v>
      </c>
      <c r="H12" s="199">
        <v>0</v>
      </c>
      <c r="I12" s="199" t="s">
        <v>11</v>
      </c>
      <c r="J12" s="199" t="s">
        <v>11</v>
      </c>
      <c r="K12" s="199" t="s">
        <v>11</v>
      </c>
      <c r="L12" s="88">
        <v>0</v>
      </c>
      <c r="M12" s="115">
        <v>1555</v>
      </c>
      <c r="N12" s="115">
        <v>1779</v>
      </c>
      <c r="O12" s="213" t="s">
        <v>11</v>
      </c>
      <c r="P12" s="115" t="str">
        <f t="shared" si="4"/>
        <v>-</v>
      </c>
      <c r="Q12" s="115">
        <v>2468</v>
      </c>
      <c r="R12" s="115">
        <v>269</v>
      </c>
      <c r="S12" s="213" t="s">
        <v>11</v>
      </c>
      <c r="T12" s="115" t="str">
        <f t="shared" si="5"/>
        <v>-</v>
      </c>
      <c r="U12" s="115">
        <v>2923</v>
      </c>
      <c r="V12" s="115">
        <v>1732</v>
      </c>
      <c r="W12" s="115">
        <v>0</v>
      </c>
      <c r="X12" s="115">
        <f t="shared" si="6"/>
        <v>0</v>
      </c>
      <c r="Y12" s="115">
        <v>1371</v>
      </c>
      <c r="Z12" s="115">
        <v>863</v>
      </c>
      <c r="AA12" s="115">
        <v>876</v>
      </c>
      <c r="AB12" s="115">
        <f t="shared" si="0"/>
        <v>1048</v>
      </c>
      <c r="AC12" s="115">
        <v>461</v>
      </c>
      <c r="AD12" s="115">
        <v>990</v>
      </c>
      <c r="AE12" s="115">
        <v>1071</v>
      </c>
      <c r="AF12" s="115">
        <f t="shared" si="1"/>
        <v>2158</v>
      </c>
      <c r="AG12" s="115">
        <v>2178</v>
      </c>
      <c r="AH12" s="115">
        <v>1583</v>
      </c>
      <c r="AI12" s="115">
        <v>1647</v>
      </c>
      <c r="AJ12" s="115">
        <f t="shared" si="2"/>
        <v>1034</v>
      </c>
      <c r="AK12" s="115">
        <v>1280</v>
      </c>
      <c r="AL12" s="115">
        <v>1740</v>
      </c>
      <c r="AM12" s="115">
        <v>1602</v>
      </c>
      <c r="AN12" s="115">
        <f t="shared" si="3"/>
        <v>1849</v>
      </c>
      <c r="AO12" s="115">
        <v>1690</v>
      </c>
      <c r="AP12" s="115">
        <v>737</v>
      </c>
      <c r="AQ12" s="115">
        <v>661</v>
      </c>
      <c r="AR12" s="271">
        <f t="shared" si="7"/>
        <v>539</v>
      </c>
      <c r="AS12" s="116">
        <v>208</v>
      </c>
    </row>
    <row r="13" spans="1:45" ht="20.100000000000001" customHeight="1">
      <c r="A13" s="8"/>
      <c r="B13" s="120" t="s">
        <v>55</v>
      </c>
      <c r="C13" s="46">
        <f>SUM(C7:C12)</f>
        <v>564774</v>
      </c>
      <c r="D13" s="46">
        <f>SUM(D7:D12)</f>
        <v>422481</v>
      </c>
      <c r="E13" s="46">
        <f>SUM(E7:E12)</f>
        <v>372542</v>
      </c>
      <c r="F13" s="46">
        <f>SUM(F7:F12)</f>
        <v>284690</v>
      </c>
      <c r="G13" s="46">
        <f t="shared" ref="G13:L13" si="8">SUM(G7:G12)</f>
        <v>194702</v>
      </c>
      <c r="H13" s="46">
        <f t="shared" si="8"/>
        <v>147166</v>
      </c>
      <c r="I13" s="46">
        <f t="shared" si="8"/>
        <v>135893</v>
      </c>
      <c r="J13" s="46">
        <f t="shared" si="8"/>
        <v>67454</v>
      </c>
      <c r="K13" s="46">
        <f t="shared" si="8"/>
        <v>59045</v>
      </c>
      <c r="L13" s="121">
        <f t="shared" si="8"/>
        <v>41648</v>
      </c>
      <c r="M13" s="46">
        <f t="shared" ref="M13:U13" si="9">SUM(M7:M12)</f>
        <v>61497</v>
      </c>
      <c r="N13" s="46">
        <f t="shared" si="9"/>
        <v>61002</v>
      </c>
      <c r="O13" s="46">
        <f t="shared" si="9"/>
        <v>66916</v>
      </c>
      <c r="P13" s="46">
        <f t="shared" si="9"/>
        <v>67454</v>
      </c>
      <c r="Q13" s="46">
        <f t="shared" si="9"/>
        <v>119706</v>
      </c>
      <c r="R13" s="46">
        <f t="shared" si="9"/>
        <v>129225</v>
      </c>
      <c r="S13" s="46">
        <f t="shared" si="9"/>
        <v>131474</v>
      </c>
      <c r="T13" s="46">
        <f t="shared" si="9"/>
        <v>135893</v>
      </c>
      <c r="U13" s="46">
        <f t="shared" si="9"/>
        <v>144140</v>
      </c>
      <c r="V13" s="46">
        <f t="shared" ref="V13:Y13" si="10">SUM(V7:V12)</f>
        <v>140406</v>
      </c>
      <c r="W13" s="46">
        <f t="shared" si="10"/>
        <v>143194</v>
      </c>
      <c r="X13" s="46">
        <f t="shared" si="6"/>
        <v>147166</v>
      </c>
      <c r="Y13" s="46">
        <f t="shared" si="10"/>
        <v>149739</v>
      </c>
      <c r="Z13" s="46">
        <f t="shared" ref="Z13:AA13" si="11">SUM(Z7:Z12)</f>
        <v>161641</v>
      </c>
      <c r="AA13" s="46">
        <f t="shared" si="11"/>
        <v>182482</v>
      </c>
      <c r="AB13" s="46">
        <f t="shared" ref="AB13:AC13" si="12">SUM(AB7:AB12)</f>
        <v>194702</v>
      </c>
      <c r="AC13" s="46">
        <f t="shared" si="12"/>
        <v>200959</v>
      </c>
      <c r="AD13" s="46">
        <f t="shared" ref="AD13:AE13" si="13">SUM(AD7:AD12)</f>
        <v>224961</v>
      </c>
      <c r="AE13" s="46">
        <f t="shared" si="13"/>
        <v>278384</v>
      </c>
      <c r="AF13" s="46">
        <f t="shared" ref="AF13:AG13" si="14">SUM(AF7:AF12)</f>
        <v>284690</v>
      </c>
      <c r="AG13" s="46">
        <f t="shared" si="14"/>
        <v>290977</v>
      </c>
      <c r="AH13" s="46">
        <f t="shared" ref="AH13:AI13" si="15">SUM(AH7:AH12)</f>
        <v>304158</v>
      </c>
      <c r="AI13" s="46">
        <f t="shared" si="15"/>
        <v>307992</v>
      </c>
      <c r="AJ13" s="46">
        <f t="shared" ref="AJ13:AK13" si="16">SUM(AJ7:AJ12)</f>
        <v>372542</v>
      </c>
      <c r="AK13" s="46">
        <f t="shared" si="16"/>
        <v>384568</v>
      </c>
      <c r="AL13" s="46">
        <f t="shared" ref="AL13:AM13" si="17">SUM(AL7:AL12)</f>
        <v>406464</v>
      </c>
      <c r="AM13" s="46">
        <f t="shared" si="17"/>
        <v>408258</v>
      </c>
      <c r="AN13" s="46">
        <f t="shared" ref="AN13:AO13" si="18">SUM(AN7:AN12)</f>
        <v>422481</v>
      </c>
      <c r="AO13" s="46">
        <f t="shared" si="18"/>
        <v>483275</v>
      </c>
      <c r="AP13" s="46">
        <f t="shared" ref="AP13:AQ13" si="19">SUM(AP7:AP12)</f>
        <v>485781</v>
      </c>
      <c r="AQ13" s="46">
        <f t="shared" si="19"/>
        <v>526533</v>
      </c>
      <c r="AR13" s="46">
        <f t="shared" ref="AR13:AS13" si="20">SUM(AR7:AR12)</f>
        <v>564774</v>
      </c>
      <c r="AS13" s="121">
        <f>SUM(AS7:AS12)</f>
        <v>555348</v>
      </c>
    </row>
    <row r="14" spans="1:45" ht="20.100000000000001" customHeight="1">
      <c r="A14" s="8"/>
      <c r="B14" s="122"/>
      <c r="C14" s="183"/>
      <c r="D14" s="183"/>
      <c r="E14" s="183"/>
      <c r="F14" s="183"/>
      <c r="G14" s="183"/>
      <c r="H14" s="183"/>
      <c r="I14" s="183"/>
      <c r="J14" s="87"/>
      <c r="K14" s="87"/>
      <c r="L14" s="24"/>
      <c r="M14" s="2"/>
      <c r="N14" s="143"/>
      <c r="O14" s="143"/>
      <c r="P14" s="143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272"/>
      <c r="AS14" s="204"/>
    </row>
    <row r="15" spans="1:45" ht="20.100000000000001" customHeight="1">
      <c r="A15" s="8"/>
      <c r="B15" s="122" t="s">
        <v>14</v>
      </c>
      <c r="C15" s="183"/>
      <c r="D15" s="183"/>
      <c r="E15" s="183"/>
      <c r="F15" s="183"/>
      <c r="G15" s="183"/>
      <c r="H15" s="183"/>
      <c r="I15" s="183"/>
      <c r="J15" s="87"/>
      <c r="K15" s="87"/>
      <c r="L15" s="88"/>
      <c r="M15" s="144"/>
      <c r="N15" s="10"/>
      <c r="O15" s="10"/>
      <c r="P15" s="11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273"/>
      <c r="AS15" s="205"/>
    </row>
    <row r="16" spans="1:45" ht="20.100000000000001" customHeight="1">
      <c r="A16" s="8"/>
      <c r="B16" s="117" t="s">
        <v>15</v>
      </c>
      <c r="C16" s="87">
        <v>1195105</v>
      </c>
      <c r="D16" s="87">
        <v>1120151</v>
      </c>
      <c r="E16" s="87">
        <v>1006367</v>
      </c>
      <c r="F16" s="87">
        <v>955730</v>
      </c>
      <c r="G16" s="87">
        <v>738506</v>
      </c>
      <c r="H16" s="87">
        <v>481441</v>
      </c>
      <c r="I16" s="87">
        <v>460584</v>
      </c>
      <c r="J16" s="87">
        <v>434702</v>
      </c>
      <c r="K16" s="87">
        <v>363181</v>
      </c>
      <c r="L16" s="88">
        <v>248931</v>
      </c>
      <c r="M16" s="87">
        <v>378553</v>
      </c>
      <c r="N16" s="87">
        <v>385205</v>
      </c>
      <c r="O16" s="87">
        <v>404917</v>
      </c>
      <c r="P16" s="115">
        <f>J16</f>
        <v>434702</v>
      </c>
      <c r="Q16" s="87">
        <v>440441</v>
      </c>
      <c r="R16" s="87">
        <v>439205</v>
      </c>
      <c r="S16" s="87">
        <v>439704</v>
      </c>
      <c r="T16" s="115">
        <f>I16</f>
        <v>460584</v>
      </c>
      <c r="U16" s="87">
        <v>461412</v>
      </c>
      <c r="V16" s="87">
        <v>467421</v>
      </c>
      <c r="W16" s="87">
        <v>492210</v>
      </c>
      <c r="X16" s="87">
        <f t="shared" si="6"/>
        <v>481441</v>
      </c>
      <c r="Y16" s="87">
        <v>596753</v>
      </c>
      <c r="Z16" s="87">
        <v>587684</v>
      </c>
      <c r="AA16" s="87">
        <v>641910</v>
      </c>
      <c r="AB16" s="115">
        <f t="shared" ref="AB16:AB21" si="21">G16</f>
        <v>738506</v>
      </c>
      <c r="AC16" s="115">
        <v>827688</v>
      </c>
      <c r="AD16" s="115">
        <v>812052</v>
      </c>
      <c r="AE16" s="115">
        <v>860638</v>
      </c>
      <c r="AF16" s="115">
        <f t="shared" ref="AF16:AF21" si="22">F16</f>
        <v>955730</v>
      </c>
      <c r="AG16" s="115">
        <v>948192</v>
      </c>
      <c r="AH16" s="115">
        <v>973600</v>
      </c>
      <c r="AI16" s="115">
        <v>962394</v>
      </c>
      <c r="AJ16" s="115">
        <f t="shared" ref="AJ16:AJ21" si="23">E16</f>
        <v>1006367</v>
      </c>
      <c r="AK16" s="115">
        <v>998476</v>
      </c>
      <c r="AL16" s="115">
        <v>1054483</v>
      </c>
      <c r="AM16" s="115">
        <v>1088874</v>
      </c>
      <c r="AN16" s="115">
        <f t="shared" ref="AN16:AN21" si="24">D16</f>
        <v>1120151</v>
      </c>
      <c r="AO16" s="115">
        <v>1173995</v>
      </c>
      <c r="AP16" s="115">
        <v>1105377</v>
      </c>
      <c r="AQ16" s="115">
        <v>1118184</v>
      </c>
      <c r="AR16" s="271">
        <f t="shared" ref="AR16:AS21" si="25">C16</f>
        <v>1195105</v>
      </c>
      <c r="AS16" s="116">
        <v>1256584</v>
      </c>
    </row>
    <row r="17" spans="1:45" ht="20.100000000000001" customHeight="1">
      <c r="A17" s="8"/>
      <c r="B17" s="117" t="s">
        <v>157</v>
      </c>
      <c r="C17" s="87">
        <v>22044</v>
      </c>
      <c r="D17" s="87">
        <v>23821</v>
      </c>
      <c r="E17" s="87">
        <v>19366</v>
      </c>
      <c r="F17" s="87">
        <v>13584</v>
      </c>
      <c r="G17" s="87">
        <v>10859</v>
      </c>
      <c r="H17" s="87">
        <v>10211</v>
      </c>
      <c r="I17" s="87">
        <v>7528</v>
      </c>
      <c r="J17" s="87">
        <v>5095</v>
      </c>
      <c r="K17" s="87">
        <v>3731</v>
      </c>
      <c r="L17" s="201" t="s">
        <v>11</v>
      </c>
      <c r="M17" s="87">
        <v>4291</v>
      </c>
      <c r="N17" s="87">
        <v>5958</v>
      </c>
      <c r="O17" s="87">
        <v>5796</v>
      </c>
      <c r="P17" s="115">
        <f t="shared" ref="P17:P21" si="26">J17</f>
        <v>5095</v>
      </c>
      <c r="Q17" s="87">
        <v>6902</v>
      </c>
      <c r="R17" s="87">
        <v>8953</v>
      </c>
      <c r="S17" s="87">
        <v>8451</v>
      </c>
      <c r="T17" s="115">
        <f t="shared" ref="T17:T21" si="27">I17</f>
        <v>7528</v>
      </c>
      <c r="U17" s="87">
        <v>8217</v>
      </c>
      <c r="V17" s="87">
        <v>11338</v>
      </c>
      <c r="W17" s="87">
        <v>10972</v>
      </c>
      <c r="X17" s="87">
        <f t="shared" si="6"/>
        <v>10211</v>
      </c>
      <c r="Y17" s="87">
        <v>11951</v>
      </c>
      <c r="Z17" s="87">
        <v>15471</v>
      </c>
      <c r="AA17" s="87">
        <v>14150</v>
      </c>
      <c r="AB17" s="115">
        <f t="shared" si="21"/>
        <v>10859</v>
      </c>
      <c r="AC17" s="115">
        <v>12155</v>
      </c>
      <c r="AD17" s="115">
        <v>15520</v>
      </c>
      <c r="AE17" s="115">
        <v>15391</v>
      </c>
      <c r="AF17" s="115">
        <f t="shared" si="22"/>
        <v>13584</v>
      </c>
      <c r="AG17" s="115">
        <v>16544</v>
      </c>
      <c r="AH17" s="115">
        <v>20205</v>
      </c>
      <c r="AI17" s="115">
        <v>18946</v>
      </c>
      <c r="AJ17" s="115">
        <f t="shared" si="23"/>
        <v>19366</v>
      </c>
      <c r="AK17" s="115">
        <v>20522</v>
      </c>
      <c r="AL17" s="115">
        <v>23552</v>
      </c>
      <c r="AM17" s="115">
        <v>24590</v>
      </c>
      <c r="AN17" s="115">
        <f t="shared" si="24"/>
        <v>23821</v>
      </c>
      <c r="AO17" s="115">
        <v>24312</v>
      </c>
      <c r="AP17" s="115">
        <v>26650</v>
      </c>
      <c r="AQ17" s="115">
        <v>26539</v>
      </c>
      <c r="AR17" s="271">
        <f t="shared" si="25"/>
        <v>22044</v>
      </c>
      <c r="AS17" s="116">
        <v>25089</v>
      </c>
    </row>
    <row r="18" spans="1:45" ht="20.100000000000001" customHeight="1">
      <c r="A18" s="7"/>
      <c r="B18" s="123" t="s">
        <v>56</v>
      </c>
      <c r="C18" s="87">
        <v>497091</v>
      </c>
      <c r="D18" s="87">
        <v>420890</v>
      </c>
      <c r="E18" s="87">
        <v>357031</v>
      </c>
      <c r="F18" s="87">
        <v>281343</v>
      </c>
      <c r="G18" s="87">
        <v>241534</v>
      </c>
      <c r="H18" s="87">
        <v>131350</v>
      </c>
      <c r="I18" s="87">
        <v>118477</v>
      </c>
      <c r="J18" s="87">
        <v>81799</v>
      </c>
      <c r="K18" s="87">
        <v>62873</v>
      </c>
      <c r="L18" s="88">
        <v>40533</v>
      </c>
      <c r="M18" s="87">
        <v>77453</v>
      </c>
      <c r="N18" s="87">
        <v>77539</v>
      </c>
      <c r="O18" s="87">
        <v>90332</v>
      </c>
      <c r="P18" s="115">
        <f t="shared" si="26"/>
        <v>81799</v>
      </c>
      <c r="Q18" s="87">
        <v>116719</v>
      </c>
      <c r="R18" s="87">
        <v>117891</v>
      </c>
      <c r="S18" s="87">
        <v>121064</v>
      </c>
      <c r="T18" s="115">
        <f t="shared" si="27"/>
        <v>118477</v>
      </c>
      <c r="U18" s="87">
        <v>121914</v>
      </c>
      <c r="V18" s="87">
        <v>116931</v>
      </c>
      <c r="W18" s="87">
        <v>124910</v>
      </c>
      <c r="X18" s="87">
        <f t="shared" si="6"/>
        <v>131350</v>
      </c>
      <c r="Y18" s="87">
        <v>176262</v>
      </c>
      <c r="Z18" s="87">
        <v>183015</v>
      </c>
      <c r="AA18" s="87">
        <v>212038</v>
      </c>
      <c r="AB18" s="115">
        <f t="shared" si="21"/>
        <v>241534</v>
      </c>
      <c r="AC18" s="115">
        <v>268387</v>
      </c>
      <c r="AD18" s="115">
        <v>242945</v>
      </c>
      <c r="AE18" s="115">
        <v>266370</v>
      </c>
      <c r="AF18" s="115">
        <f t="shared" si="22"/>
        <v>281343</v>
      </c>
      <c r="AG18" s="115">
        <v>283503</v>
      </c>
      <c r="AH18" s="115">
        <v>289456</v>
      </c>
      <c r="AI18" s="115">
        <v>329770</v>
      </c>
      <c r="AJ18" s="115">
        <f t="shared" si="23"/>
        <v>357031</v>
      </c>
      <c r="AK18" s="115">
        <v>332265</v>
      </c>
      <c r="AL18" s="115">
        <v>358297</v>
      </c>
      <c r="AM18" s="115">
        <v>391499</v>
      </c>
      <c r="AN18" s="115">
        <f t="shared" si="24"/>
        <v>420890</v>
      </c>
      <c r="AO18" s="115">
        <v>372415</v>
      </c>
      <c r="AP18" s="115">
        <v>377709</v>
      </c>
      <c r="AQ18" s="115">
        <v>434085</v>
      </c>
      <c r="AR18" s="271">
        <f t="shared" si="25"/>
        <v>497091</v>
      </c>
      <c r="AS18" s="116">
        <v>459840</v>
      </c>
    </row>
    <row r="19" spans="1:45" ht="20.100000000000001" customHeight="1">
      <c r="A19" s="7"/>
      <c r="B19" s="114" t="s">
        <v>23</v>
      </c>
      <c r="C19" s="87">
        <v>0</v>
      </c>
      <c r="D19" s="87">
        <v>0</v>
      </c>
      <c r="E19" s="87">
        <v>0</v>
      </c>
      <c r="F19" s="87">
        <v>4</v>
      </c>
      <c r="G19" s="87">
        <v>12</v>
      </c>
      <c r="H19" s="87">
        <v>7</v>
      </c>
      <c r="I19" s="87">
        <v>30</v>
      </c>
      <c r="J19" s="87">
        <v>36</v>
      </c>
      <c r="K19" s="87">
        <v>24</v>
      </c>
      <c r="L19" s="88">
        <v>46</v>
      </c>
      <c r="M19" s="87">
        <v>140</v>
      </c>
      <c r="N19" s="87">
        <v>145</v>
      </c>
      <c r="O19" s="87">
        <v>88</v>
      </c>
      <c r="P19" s="115">
        <f t="shared" si="26"/>
        <v>36</v>
      </c>
      <c r="Q19" s="87">
        <v>121</v>
      </c>
      <c r="R19" s="87">
        <v>88</v>
      </c>
      <c r="S19" s="87">
        <v>54</v>
      </c>
      <c r="T19" s="115">
        <f t="shared" si="27"/>
        <v>30</v>
      </c>
      <c r="U19" s="87">
        <v>353</v>
      </c>
      <c r="V19" s="87">
        <v>7</v>
      </c>
      <c r="W19" s="87">
        <v>10</v>
      </c>
      <c r="X19" s="87">
        <f t="shared" si="6"/>
        <v>7</v>
      </c>
      <c r="Y19" s="87">
        <v>2476</v>
      </c>
      <c r="Z19" s="87">
        <v>8</v>
      </c>
      <c r="AA19" s="87">
        <v>11</v>
      </c>
      <c r="AB19" s="115">
        <f t="shared" si="21"/>
        <v>12</v>
      </c>
      <c r="AC19" s="115">
        <v>3534</v>
      </c>
      <c r="AD19" s="115">
        <v>3588</v>
      </c>
      <c r="AE19" s="115">
        <v>4</v>
      </c>
      <c r="AF19" s="115">
        <f t="shared" si="22"/>
        <v>4</v>
      </c>
      <c r="AG19" s="115">
        <v>3551</v>
      </c>
      <c r="AH19" s="115">
        <v>105</v>
      </c>
      <c r="AI19" s="115">
        <v>1</v>
      </c>
      <c r="AJ19" s="115">
        <f t="shared" si="23"/>
        <v>0</v>
      </c>
      <c r="AK19" s="115">
        <v>3264</v>
      </c>
      <c r="AL19" s="115">
        <v>3305</v>
      </c>
      <c r="AM19" s="115">
        <v>0</v>
      </c>
      <c r="AN19" s="115">
        <f t="shared" si="24"/>
        <v>0</v>
      </c>
      <c r="AO19" s="115">
        <v>4195</v>
      </c>
      <c r="AP19" s="115">
        <v>4314</v>
      </c>
      <c r="AQ19" s="115">
        <v>0</v>
      </c>
      <c r="AR19" s="271">
        <f t="shared" si="25"/>
        <v>0</v>
      </c>
      <c r="AS19" s="116">
        <v>2157</v>
      </c>
    </row>
    <row r="20" spans="1:45" ht="20.100000000000001" customHeight="1">
      <c r="A20" s="7"/>
      <c r="B20" s="114" t="s">
        <v>57</v>
      </c>
      <c r="C20" s="87">
        <v>0</v>
      </c>
      <c r="D20" s="87">
        <v>0</v>
      </c>
      <c r="E20" s="87">
        <v>1257</v>
      </c>
      <c r="F20" s="87">
        <v>0</v>
      </c>
      <c r="G20" s="87">
        <v>221</v>
      </c>
      <c r="H20" s="87">
        <v>0</v>
      </c>
      <c r="I20" s="87">
        <v>150</v>
      </c>
      <c r="J20" s="199" t="s">
        <v>11</v>
      </c>
      <c r="K20" s="87">
        <v>135</v>
      </c>
      <c r="L20" s="88">
        <v>15</v>
      </c>
      <c r="M20" s="87">
        <v>136</v>
      </c>
      <c r="N20" s="87">
        <v>136</v>
      </c>
      <c r="O20" s="199" t="s">
        <v>11</v>
      </c>
      <c r="P20" s="115" t="str">
        <f t="shared" si="26"/>
        <v>-</v>
      </c>
      <c r="Q20" s="199" t="s">
        <v>11</v>
      </c>
      <c r="R20" s="199" t="s">
        <v>11</v>
      </c>
      <c r="S20" s="199" t="s">
        <v>11</v>
      </c>
      <c r="T20" s="115">
        <f t="shared" si="27"/>
        <v>150</v>
      </c>
      <c r="U20" s="199" t="s">
        <v>11</v>
      </c>
      <c r="V20" s="199">
        <v>0</v>
      </c>
      <c r="W20" s="199">
        <v>0</v>
      </c>
      <c r="X20" s="199">
        <f t="shared" si="6"/>
        <v>0</v>
      </c>
      <c r="Y20" s="199">
        <v>0</v>
      </c>
      <c r="Z20" s="199">
        <v>202</v>
      </c>
      <c r="AA20" s="199">
        <v>0</v>
      </c>
      <c r="AB20" s="115">
        <f t="shared" si="21"/>
        <v>221</v>
      </c>
      <c r="AC20" s="115">
        <v>0</v>
      </c>
      <c r="AD20" s="115">
        <v>355</v>
      </c>
      <c r="AE20" s="115">
        <v>0</v>
      </c>
      <c r="AF20" s="115">
        <f t="shared" si="22"/>
        <v>0</v>
      </c>
      <c r="AG20" s="115">
        <v>209</v>
      </c>
      <c r="AH20" s="115">
        <v>451</v>
      </c>
      <c r="AI20" s="115">
        <v>0</v>
      </c>
      <c r="AJ20" s="115">
        <f t="shared" si="23"/>
        <v>1257</v>
      </c>
      <c r="AK20" s="115">
        <v>0</v>
      </c>
      <c r="AL20" s="115">
        <v>43</v>
      </c>
      <c r="AM20" s="115">
        <v>958</v>
      </c>
      <c r="AN20" s="115">
        <f t="shared" si="24"/>
        <v>0</v>
      </c>
      <c r="AO20" s="115">
        <v>0</v>
      </c>
      <c r="AP20" s="115">
        <v>0</v>
      </c>
      <c r="AQ20" s="115">
        <v>0</v>
      </c>
      <c r="AR20" s="271">
        <f t="shared" si="25"/>
        <v>0</v>
      </c>
      <c r="AS20" s="116">
        <v>0</v>
      </c>
    </row>
    <row r="21" spans="1:45" ht="20.100000000000001" customHeight="1">
      <c r="A21" s="8"/>
      <c r="B21" s="114" t="s">
        <v>16</v>
      </c>
      <c r="C21" s="87">
        <v>51588</v>
      </c>
      <c r="D21" s="87">
        <v>38584</v>
      </c>
      <c r="E21" s="87">
        <v>37360</v>
      </c>
      <c r="F21" s="87">
        <v>34931</v>
      </c>
      <c r="G21" s="87">
        <v>16936</v>
      </c>
      <c r="H21" s="87">
        <v>21377</v>
      </c>
      <c r="I21" s="87">
        <v>25947</v>
      </c>
      <c r="J21" s="87">
        <v>21913</v>
      </c>
      <c r="K21" s="87">
        <v>16609</v>
      </c>
      <c r="L21" s="88">
        <v>10976</v>
      </c>
      <c r="M21" s="87">
        <v>12120</v>
      </c>
      <c r="N21" s="87">
        <v>30843</v>
      </c>
      <c r="O21" s="87">
        <v>17319</v>
      </c>
      <c r="P21" s="115">
        <f t="shared" si="26"/>
        <v>21913</v>
      </c>
      <c r="Q21" s="87">
        <v>26917</v>
      </c>
      <c r="R21" s="87">
        <v>20846</v>
      </c>
      <c r="S21" s="87">
        <v>20830</v>
      </c>
      <c r="T21" s="115">
        <f t="shared" si="27"/>
        <v>25947</v>
      </c>
      <c r="U21" s="87">
        <v>28390</v>
      </c>
      <c r="V21" s="87">
        <v>32808</v>
      </c>
      <c r="W21" s="87">
        <v>24342</v>
      </c>
      <c r="X21" s="87">
        <f t="shared" si="6"/>
        <v>21377</v>
      </c>
      <c r="Y21" s="87">
        <v>26586</v>
      </c>
      <c r="Z21" s="87">
        <v>32401</v>
      </c>
      <c r="AA21" s="87">
        <v>26578</v>
      </c>
      <c r="AB21" s="115">
        <f t="shared" si="21"/>
        <v>16936</v>
      </c>
      <c r="AC21" s="115">
        <v>35951</v>
      </c>
      <c r="AD21" s="115">
        <v>43001</v>
      </c>
      <c r="AE21" s="115">
        <v>30522</v>
      </c>
      <c r="AF21" s="115">
        <f t="shared" si="22"/>
        <v>34931</v>
      </c>
      <c r="AG21" s="115">
        <v>53043</v>
      </c>
      <c r="AH21" s="115">
        <v>27900</v>
      </c>
      <c r="AI21" s="115">
        <v>33746</v>
      </c>
      <c r="AJ21" s="115">
        <f t="shared" si="23"/>
        <v>37360</v>
      </c>
      <c r="AK21" s="115">
        <v>35228</v>
      </c>
      <c r="AL21" s="115">
        <v>41776</v>
      </c>
      <c r="AM21" s="115">
        <v>48830</v>
      </c>
      <c r="AN21" s="115">
        <f t="shared" si="24"/>
        <v>38584</v>
      </c>
      <c r="AO21" s="115">
        <v>59460</v>
      </c>
      <c r="AP21" s="115">
        <v>75009</v>
      </c>
      <c r="AQ21" s="115">
        <v>49033</v>
      </c>
      <c r="AR21" s="271">
        <f t="shared" si="25"/>
        <v>51588</v>
      </c>
      <c r="AS21" s="116">
        <v>51609</v>
      </c>
    </row>
    <row r="22" spans="1:45" ht="20.100000000000001" customHeight="1">
      <c r="A22" s="8"/>
      <c r="B22" s="124" t="s">
        <v>58</v>
      </c>
      <c r="C22" s="47">
        <f t="shared" ref="C22:L22" si="28">SUM(C16:C21)</f>
        <v>1765828</v>
      </c>
      <c r="D22" s="47">
        <f t="shared" si="28"/>
        <v>1603446</v>
      </c>
      <c r="E22" s="47">
        <f t="shared" si="28"/>
        <v>1421381</v>
      </c>
      <c r="F22" s="47">
        <f t="shared" si="28"/>
        <v>1285592</v>
      </c>
      <c r="G22" s="47">
        <f t="shared" si="28"/>
        <v>1008068</v>
      </c>
      <c r="H22" s="47">
        <f t="shared" si="28"/>
        <v>644386</v>
      </c>
      <c r="I22" s="47">
        <f t="shared" si="28"/>
        <v>612716</v>
      </c>
      <c r="J22" s="47">
        <f t="shared" si="28"/>
        <v>543545</v>
      </c>
      <c r="K22" s="47">
        <f t="shared" si="28"/>
        <v>446553</v>
      </c>
      <c r="L22" s="125">
        <f t="shared" si="28"/>
        <v>300501</v>
      </c>
      <c r="M22" s="47">
        <f t="shared" ref="M22:U22" si="29">SUM(M16:M21)</f>
        <v>472693</v>
      </c>
      <c r="N22" s="47">
        <f t="shared" si="29"/>
        <v>499826</v>
      </c>
      <c r="O22" s="47">
        <f t="shared" si="29"/>
        <v>518452</v>
      </c>
      <c r="P22" s="47">
        <f t="shared" si="29"/>
        <v>543545</v>
      </c>
      <c r="Q22" s="47">
        <f t="shared" si="29"/>
        <v>591100</v>
      </c>
      <c r="R22" s="47">
        <f t="shared" si="29"/>
        <v>586983</v>
      </c>
      <c r="S22" s="47">
        <f t="shared" si="29"/>
        <v>590103</v>
      </c>
      <c r="T22" s="47">
        <f t="shared" si="29"/>
        <v>612716</v>
      </c>
      <c r="U22" s="47">
        <f t="shared" si="29"/>
        <v>620286</v>
      </c>
      <c r="V22" s="47">
        <f t="shared" ref="V22:Y22" si="30">SUM(V16:V21)</f>
        <v>628505</v>
      </c>
      <c r="W22" s="47">
        <f t="shared" si="30"/>
        <v>652444</v>
      </c>
      <c r="X22" s="47">
        <f t="shared" si="6"/>
        <v>644386</v>
      </c>
      <c r="Y22" s="47">
        <f t="shared" si="30"/>
        <v>814028</v>
      </c>
      <c r="Z22" s="47">
        <f t="shared" ref="Z22:AA22" si="31">SUM(Z16:Z21)</f>
        <v>818781</v>
      </c>
      <c r="AA22" s="47">
        <f t="shared" si="31"/>
        <v>894687</v>
      </c>
      <c r="AB22" s="47">
        <f t="shared" ref="AB22:AC22" si="32">SUM(AB16:AB21)</f>
        <v>1008068</v>
      </c>
      <c r="AC22" s="47">
        <f t="shared" si="32"/>
        <v>1147715</v>
      </c>
      <c r="AD22" s="47">
        <f t="shared" ref="AD22:AE22" si="33">SUM(AD16:AD21)</f>
        <v>1117461</v>
      </c>
      <c r="AE22" s="47">
        <f t="shared" si="33"/>
        <v>1172925</v>
      </c>
      <c r="AF22" s="47">
        <f t="shared" ref="AF22:AG22" si="34">SUM(AF16:AF21)</f>
        <v>1285592</v>
      </c>
      <c r="AG22" s="47">
        <f t="shared" si="34"/>
        <v>1305042</v>
      </c>
      <c r="AH22" s="47">
        <f t="shared" ref="AH22:AI22" si="35">SUM(AH16:AH21)</f>
        <v>1311717</v>
      </c>
      <c r="AI22" s="47">
        <f t="shared" si="35"/>
        <v>1344857</v>
      </c>
      <c r="AJ22" s="47">
        <f t="shared" ref="AJ22:AK22" si="36">SUM(AJ16:AJ21)</f>
        <v>1421381</v>
      </c>
      <c r="AK22" s="47">
        <f t="shared" si="36"/>
        <v>1389755</v>
      </c>
      <c r="AL22" s="47">
        <f t="shared" ref="AL22:AM22" si="37">SUM(AL16:AL21)</f>
        <v>1481456</v>
      </c>
      <c r="AM22" s="47">
        <f t="shared" si="37"/>
        <v>1554751</v>
      </c>
      <c r="AN22" s="47">
        <f t="shared" ref="AN22:AO22" si="38">SUM(AN16:AN21)</f>
        <v>1603446</v>
      </c>
      <c r="AO22" s="47">
        <f t="shared" si="38"/>
        <v>1634377</v>
      </c>
      <c r="AP22" s="47">
        <f t="shared" ref="AP22:AQ22" si="39">SUM(AP16:AP21)</f>
        <v>1589059</v>
      </c>
      <c r="AQ22" s="47">
        <f t="shared" si="39"/>
        <v>1627841</v>
      </c>
      <c r="AR22" s="47">
        <f t="shared" ref="AR22:AS22" si="40">SUM(AR16:AR21)</f>
        <v>1765828</v>
      </c>
      <c r="AS22" s="125">
        <f t="shared" si="40"/>
        <v>1795279</v>
      </c>
    </row>
    <row r="23" spans="1:45" ht="20.100000000000001" customHeight="1">
      <c r="A23" s="8"/>
      <c r="B23" s="126"/>
      <c r="C23" s="184"/>
      <c r="D23" s="184"/>
      <c r="E23" s="184"/>
      <c r="F23" s="184"/>
      <c r="G23" s="184"/>
      <c r="H23" s="184"/>
      <c r="I23" s="184"/>
      <c r="J23" s="127"/>
      <c r="K23" s="127"/>
      <c r="L23" s="128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125"/>
    </row>
    <row r="24" spans="1:45" ht="20.100000000000001" customHeight="1">
      <c r="A24" s="8"/>
      <c r="B24" s="124" t="s">
        <v>17</v>
      </c>
      <c r="C24" s="47">
        <f t="shared" ref="C24:L24" si="41">C22+C13</f>
        <v>2330602</v>
      </c>
      <c r="D24" s="47">
        <f t="shared" si="41"/>
        <v>2025927</v>
      </c>
      <c r="E24" s="47">
        <f t="shared" si="41"/>
        <v>1793923</v>
      </c>
      <c r="F24" s="47">
        <f t="shared" si="41"/>
        <v>1570282</v>
      </c>
      <c r="G24" s="47">
        <f t="shared" si="41"/>
        <v>1202770</v>
      </c>
      <c r="H24" s="47">
        <f t="shared" si="41"/>
        <v>791552</v>
      </c>
      <c r="I24" s="47">
        <f t="shared" si="41"/>
        <v>748609</v>
      </c>
      <c r="J24" s="47">
        <f t="shared" si="41"/>
        <v>610999</v>
      </c>
      <c r="K24" s="47">
        <f t="shared" si="41"/>
        <v>505598</v>
      </c>
      <c r="L24" s="125">
        <f t="shared" si="41"/>
        <v>342149</v>
      </c>
      <c r="M24" s="47">
        <f t="shared" ref="M24:U24" si="42">M22+M13</f>
        <v>534190</v>
      </c>
      <c r="N24" s="47">
        <f t="shared" si="42"/>
        <v>560828</v>
      </c>
      <c r="O24" s="47">
        <f t="shared" si="42"/>
        <v>585368</v>
      </c>
      <c r="P24" s="47">
        <f t="shared" si="42"/>
        <v>610999</v>
      </c>
      <c r="Q24" s="47">
        <f t="shared" si="42"/>
        <v>710806</v>
      </c>
      <c r="R24" s="47">
        <f t="shared" si="42"/>
        <v>716208</v>
      </c>
      <c r="S24" s="47">
        <f t="shared" si="42"/>
        <v>721577</v>
      </c>
      <c r="T24" s="47">
        <f t="shared" si="42"/>
        <v>748609</v>
      </c>
      <c r="U24" s="47">
        <f t="shared" si="42"/>
        <v>764426</v>
      </c>
      <c r="V24" s="47">
        <f t="shared" ref="V24:Y24" si="43">V22+V13</f>
        <v>768911</v>
      </c>
      <c r="W24" s="47">
        <f t="shared" si="43"/>
        <v>795638</v>
      </c>
      <c r="X24" s="47">
        <f t="shared" si="6"/>
        <v>791552</v>
      </c>
      <c r="Y24" s="47">
        <f t="shared" si="43"/>
        <v>963767</v>
      </c>
      <c r="Z24" s="47">
        <f t="shared" ref="Z24:AA24" si="44">Z22+Z13</f>
        <v>980422</v>
      </c>
      <c r="AA24" s="47">
        <f t="shared" si="44"/>
        <v>1077169</v>
      </c>
      <c r="AB24" s="47">
        <f t="shared" ref="AB24:AC24" si="45">AB22+AB13</f>
        <v>1202770</v>
      </c>
      <c r="AC24" s="47">
        <f t="shared" si="45"/>
        <v>1348674</v>
      </c>
      <c r="AD24" s="47">
        <f t="shared" ref="AD24:AE24" si="46">AD22+AD13</f>
        <v>1342422</v>
      </c>
      <c r="AE24" s="47">
        <f t="shared" si="46"/>
        <v>1451309</v>
      </c>
      <c r="AF24" s="47">
        <f t="shared" ref="AF24:AG24" si="47">AF22+AF13</f>
        <v>1570282</v>
      </c>
      <c r="AG24" s="47">
        <f t="shared" si="47"/>
        <v>1596019</v>
      </c>
      <c r="AH24" s="47">
        <f t="shared" ref="AH24:AI24" si="48">AH22+AH13</f>
        <v>1615875</v>
      </c>
      <c r="AI24" s="47">
        <f t="shared" si="48"/>
        <v>1652849</v>
      </c>
      <c r="AJ24" s="47">
        <f t="shared" ref="AJ24:AK24" si="49">AJ22+AJ13</f>
        <v>1793923</v>
      </c>
      <c r="AK24" s="47">
        <f t="shared" si="49"/>
        <v>1774323</v>
      </c>
      <c r="AL24" s="47">
        <f t="shared" ref="AL24:AM24" si="50">AL22+AL13</f>
        <v>1887920</v>
      </c>
      <c r="AM24" s="47">
        <f t="shared" si="50"/>
        <v>1963009</v>
      </c>
      <c r="AN24" s="47">
        <f t="shared" ref="AN24:AO24" si="51">AN22+AN13</f>
        <v>2025927</v>
      </c>
      <c r="AO24" s="47">
        <f t="shared" si="51"/>
        <v>2117652</v>
      </c>
      <c r="AP24" s="47">
        <f t="shared" ref="AP24:AQ24" si="52">AP22+AP13</f>
        <v>2074840</v>
      </c>
      <c r="AQ24" s="47">
        <f t="shared" si="52"/>
        <v>2154374</v>
      </c>
      <c r="AR24" s="47">
        <f t="shared" ref="AR24:AS24" si="53">AR22+AR13</f>
        <v>2330602</v>
      </c>
      <c r="AS24" s="125">
        <f t="shared" si="53"/>
        <v>2350627</v>
      </c>
    </row>
    <row r="25" spans="1:45" ht="20.100000000000001" customHeight="1">
      <c r="A25" s="8"/>
      <c r="B25" s="129"/>
      <c r="C25" s="185"/>
      <c r="D25" s="185"/>
      <c r="E25" s="185"/>
      <c r="F25" s="185"/>
      <c r="G25" s="185"/>
      <c r="H25" s="185"/>
      <c r="I25" s="185"/>
      <c r="J25" s="130"/>
      <c r="K25" s="130"/>
      <c r="L25" s="131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270"/>
      <c r="AS25" s="203"/>
    </row>
    <row r="26" spans="1:45" ht="20.100000000000001" customHeight="1">
      <c r="A26" s="8"/>
      <c r="B26" s="111" t="s">
        <v>59</v>
      </c>
      <c r="C26" s="180"/>
      <c r="D26" s="180"/>
      <c r="E26" s="180"/>
      <c r="F26" s="180"/>
      <c r="G26" s="180"/>
      <c r="H26" s="180"/>
      <c r="I26" s="180"/>
      <c r="J26" s="112"/>
      <c r="K26" s="112"/>
      <c r="L26" s="113"/>
      <c r="M26" s="142"/>
      <c r="N26" s="140"/>
      <c r="O26" s="140"/>
      <c r="P26" s="141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274"/>
      <c r="AS26" s="206"/>
    </row>
    <row r="27" spans="1:45" ht="20.100000000000001" customHeight="1">
      <c r="A27" s="8"/>
      <c r="B27" s="111"/>
      <c r="C27" s="243"/>
      <c r="D27" s="243"/>
      <c r="E27" s="243"/>
      <c r="F27" s="243"/>
      <c r="G27" s="243"/>
      <c r="H27" s="243"/>
      <c r="I27" s="180"/>
      <c r="J27" s="112"/>
      <c r="K27" s="112"/>
      <c r="L27" s="113"/>
      <c r="M27" s="142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275"/>
      <c r="AS27" s="207"/>
    </row>
    <row r="28" spans="1:45" ht="20.100000000000001" customHeight="1">
      <c r="A28" s="8"/>
      <c r="B28" s="111" t="s">
        <v>18</v>
      </c>
      <c r="C28" s="180"/>
      <c r="D28" s="180"/>
      <c r="E28" s="180"/>
      <c r="F28" s="180"/>
      <c r="G28" s="180"/>
      <c r="H28" s="180"/>
      <c r="I28" s="180"/>
      <c r="J28" s="112"/>
      <c r="K28" s="112"/>
      <c r="L28" s="113"/>
      <c r="M28" s="145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275"/>
      <c r="AS28" s="207"/>
    </row>
    <row r="29" spans="1:45" ht="20.100000000000001" customHeight="1">
      <c r="A29" s="8"/>
      <c r="B29" s="126" t="s">
        <v>60</v>
      </c>
      <c r="C29" s="127">
        <v>13062</v>
      </c>
      <c r="D29" s="127">
        <v>13062</v>
      </c>
      <c r="E29" s="127">
        <v>13062</v>
      </c>
      <c r="F29" s="127">
        <v>13062</v>
      </c>
      <c r="G29" s="127">
        <v>13062</v>
      </c>
      <c r="H29" s="127">
        <v>13062</v>
      </c>
      <c r="I29" s="127">
        <v>13062</v>
      </c>
      <c r="J29" s="127">
        <v>13012</v>
      </c>
      <c r="K29" s="127">
        <v>12945</v>
      </c>
      <c r="L29" s="128">
        <v>11700</v>
      </c>
      <c r="M29" s="127">
        <v>12945</v>
      </c>
      <c r="N29" s="127">
        <v>13012</v>
      </c>
      <c r="O29" s="127">
        <v>13012</v>
      </c>
      <c r="P29" s="115">
        <f>J29</f>
        <v>13012</v>
      </c>
      <c r="Q29" s="127">
        <v>13012</v>
      </c>
      <c r="R29" s="127">
        <v>13012</v>
      </c>
      <c r="S29" s="127">
        <v>13062</v>
      </c>
      <c r="T29" s="115">
        <f>I29</f>
        <v>13062</v>
      </c>
      <c r="U29" s="127">
        <v>13062</v>
      </c>
      <c r="V29" s="127">
        <v>13062</v>
      </c>
      <c r="W29" s="127">
        <v>13062</v>
      </c>
      <c r="X29" s="127">
        <f t="shared" si="6"/>
        <v>13062</v>
      </c>
      <c r="Y29" s="127">
        <v>13062</v>
      </c>
      <c r="Z29" s="127">
        <v>13062</v>
      </c>
      <c r="AA29" s="127">
        <v>13062</v>
      </c>
      <c r="AB29" s="115">
        <f>G29</f>
        <v>13062</v>
      </c>
      <c r="AC29" s="115">
        <v>13062</v>
      </c>
      <c r="AD29" s="115">
        <v>13062</v>
      </c>
      <c r="AE29" s="115">
        <v>13062</v>
      </c>
      <c r="AF29" s="115">
        <f>F29</f>
        <v>13062</v>
      </c>
      <c r="AG29" s="115">
        <v>13062</v>
      </c>
      <c r="AH29" s="115">
        <v>13062</v>
      </c>
      <c r="AI29" s="115">
        <v>13062</v>
      </c>
      <c r="AJ29" s="115">
        <f>E29</f>
        <v>13062</v>
      </c>
      <c r="AK29" s="115">
        <v>13062</v>
      </c>
      <c r="AL29" s="115">
        <v>13062</v>
      </c>
      <c r="AM29" s="115">
        <v>13062</v>
      </c>
      <c r="AN29" s="115">
        <f>D29</f>
        <v>13062</v>
      </c>
      <c r="AO29" s="115">
        <v>13062</v>
      </c>
      <c r="AP29" s="115">
        <v>13062</v>
      </c>
      <c r="AQ29" s="115">
        <v>13062</v>
      </c>
      <c r="AR29" s="271">
        <f t="shared" ref="AR29:AS31" si="54">C29</f>
        <v>13062</v>
      </c>
      <c r="AS29" s="116">
        <v>13062</v>
      </c>
    </row>
    <row r="30" spans="1:45" ht="20.100000000000001" customHeight="1">
      <c r="A30" s="8"/>
      <c r="B30" s="126" t="s">
        <v>61</v>
      </c>
      <c r="C30" s="127">
        <f>106299+2103-1686</f>
        <v>106716</v>
      </c>
      <c r="D30" s="127">
        <f>106299+2103-1939</f>
        <v>106463</v>
      </c>
      <c r="E30" s="127">
        <f>106299+2103-1657</f>
        <v>106745</v>
      </c>
      <c r="F30" s="127">
        <f>106299+1071</f>
        <v>107370</v>
      </c>
      <c r="G30" s="127">
        <f>655496-G31-G29</f>
        <v>107717</v>
      </c>
      <c r="H30" s="127">
        <f>359175-292</f>
        <v>358883</v>
      </c>
      <c r="I30" s="127">
        <f>300461-40</f>
        <v>300421</v>
      </c>
      <c r="J30" s="127">
        <f>243530-22</f>
        <v>243508</v>
      </c>
      <c r="K30" s="127">
        <f>206805-14</f>
        <v>206791</v>
      </c>
      <c r="L30" s="128">
        <v>114519</v>
      </c>
      <c r="M30" s="127">
        <f>206942-19</f>
        <v>206923</v>
      </c>
      <c r="N30" s="127">
        <f>243222-18</f>
        <v>243204</v>
      </c>
      <c r="O30" s="127">
        <f>243376-12</f>
        <v>243364</v>
      </c>
      <c r="P30" s="115">
        <f t="shared" ref="P30:P31" si="55">J30</f>
        <v>243508</v>
      </c>
      <c r="Q30" s="127">
        <f>243530-18</f>
        <v>243512</v>
      </c>
      <c r="R30" s="127">
        <f>300550-33</f>
        <v>300517</v>
      </c>
      <c r="S30" s="127">
        <f>300461-72</f>
        <v>300389</v>
      </c>
      <c r="T30" s="115">
        <f t="shared" ref="T30:T31" si="56">I30</f>
        <v>300421</v>
      </c>
      <c r="U30" s="127">
        <f>300461+19</f>
        <v>300480</v>
      </c>
      <c r="V30" s="127">
        <f>359175+5</f>
        <v>359180</v>
      </c>
      <c r="W30" s="127">
        <f>359175+9</f>
        <v>359184</v>
      </c>
      <c r="X30" s="127">
        <f>H30</f>
        <v>358883</v>
      </c>
      <c r="Y30" s="127">
        <f>106299+1691</f>
        <v>107990</v>
      </c>
      <c r="Z30" s="127">
        <f>106299+2103-385</f>
        <v>108017</v>
      </c>
      <c r="AA30" s="127">
        <f>106299+1548</f>
        <v>107847</v>
      </c>
      <c r="AB30" s="115">
        <f>G30</f>
        <v>107717</v>
      </c>
      <c r="AC30" s="115">
        <f>705625-AC29-AC31</f>
        <v>107502</v>
      </c>
      <c r="AD30" s="115">
        <f>106299+1251</f>
        <v>107550</v>
      </c>
      <c r="AE30" s="115">
        <f>106299+916</f>
        <v>107215</v>
      </c>
      <c r="AF30" s="115">
        <f>F30</f>
        <v>107370</v>
      </c>
      <c r="AG30" s="115">
        <v>107216</v>
      </c>
      <c r="AH30" s="115">
        <f>106299+1314</f>
        <v>107613</v>
      </c>
      <c r="AI30" s="115">
        <f>106299+1099</f>
        <v>107398</v>
      </c>
      <c r="AJ30" s="115">
        <f>E30</f>
        <v>106745</v>
      </c>
      <c r="AK30" s="115">
        <f>106299+2103-1923</f>
        <v>106479</v>
      </c>
      <c r="AL30" s="115">
        <f>106299+2103-1815</f>
        <v>106587</v>
      </c>
      <c r="AM30" s="115">
        <f>106299+2103-1927</f>
        <v>106475</v>
      </c>
      <c r="AN30" s="115">
        <f>D30</f>
        <v>106463</v>
      </c>
      <c r="AO30" s="115">
        <f>106299+2103-2154</f>
        <v>106248</v>
      </c>
      <c r="AP30" s="115">
        <f>106299+2103-1954</f>
        <v>106448</v>
      </c>
      <c r="AQ30" s="115">
        <f>106299+2103-1348</f>
        <v>107054</v>
      </c>
      <c r="AR30" s="271">
        <f t="shared" si="54"/>
        <v>106716</v>
      </c>
      <c r="AS30" s="116">
        <f>106299+2103-1611</f>
        <v>106791</v>
      </c>
    </row>
    <row r="31" spans="1:45" ht="20.100000000000001" customHeight="1">
      <c r="A31" s="8"/>
      <c r="B31" s="114" t="s">
        <v>119</v>
      </c>
      <c r="C31" s="127">
        <v>1294107</v>
      </c>
      <c r="D31" s="127">
        <v>1114768</v>
      </c>
      <c r="E31" s="127">
        <v>926385</v>
      </c>
      <c r="F31" s="127">
        <v>722392</v>
      </c>
      <c r="G31" s="127">
        <v>534717</v>
      </c>
      <c r="H31" s="127">
        <v>110982</v>
      </c>
      <c r="I31" s="127">
        <v>58714</v>
      </c>
      <c r="J31" s="87">
        <v>58642</v>
      </c>
      <c r="K31" s="87">
        <v>34884</v>
      </c>
      <c r="L31" s="88">
        <v>34489</v>
      </c>
      <c r="M31" s="127">
        <v>47779</v>
      </c>
      <c r="N31" s="127">
        <v>29569</v>
      </c>
      <c r="O31" s="127">
        <v>45472</v>
      </c>
      <c r="P31" s="115">
        <f t="shared" si="55"/>
        <v>58642</v>
      </c>
      <c r="Q31" s="127">
        <v>74130</v>
      </c>
      <c r="R31" s="127">
        <v>28954</v>
      </c>
      <c r="S31" s="127">
        <v>44591</v>
      </c>
      <c r="T31" s="115">
        <f t="shared" si="56"/>
        <v>58714</v>
      </c>
      <c r="U31" s="127">
        <v>71392</v>
      </c>
      <c r="V31" s="127">
        <v>45284</v>
      </c>
      <c r="W31" s="127">
        <v>81870</v>
      </c>
      <c r="X31" s="127">
        <f t="shared" si="6"/>
        <v>110982</v>
      </c>
      <c r="Y31" s="127">
        <v>399510</v>
      </c>
      <c r="Z31" s="127">
        <v>442058</v>
      </c>
      <c r="AA31" s="127">
        <v>493075</v>
      </c>
      <c r="AB31" s="115">
        <f>G31</f>
        <v>534717</v>
      </c>
      <c r="AC31" s="115">
        <v>585061</v>
      </c>
      <c r="AD31" s="115">
        <v>617883</v>
      </c>
      <c r="AE31" s="115">
        <v>671628</v>
      </c>
      <c r="AF31" s="115">
        <f>F31</f>
        <v>722392</v>
      </c>
      <c r="AG31" s="115">
        <v>765411</v>
      </c>
      <c r="AH31" s="115">
        <v>809969</v>
      </c>
      <c r="AI31" s="115">
        <v>875618</v>
      </c>
      <c r="AJ31" s="115">
        <f>E31</f>
        <v>926385</v>
      </c>
      <c r="AK31" s="115">
        <v>966706</v>
      </c>
      <c r="AL31" s="115">
        <v>1004041</v>
      </c>
      <c r="AM31" s="115">
        <v>1054216</v>
      </c>
      <c r="AN31" s="115">
        <f>D31</f>
        <v>1114768</v>
      </c>
      <c r="AO31" s="115">
        <v>1154004</v>
      </c>
      <c r="AP31" s="115">
        <v>1192347</v>
      </c>
      <c r="AQ31" s="115">
        <v>1241539</v>
      </c>
      <c r="AR31" s="271">
        <f t="shared" si="54"/>
        <v>1294107</v>
      </c>
      <c r="AS31" s="116">
        <v>1356200</v>
      </c>
    </row>
    <row r="32" spans="1:45" ht="20.100000000000001" customHeight="1">
      <c r="A32" s="8"/>
      <c r="B32" s="124" t="s">
        <v>62</v>
      </c>
      <c r="C32" s="47">
        <f t="shared" ref="C32:W32" si="57">SUM(C29:C31)</f>
        <v>1413885</v>
      </c>
      <c r="D32" s="47">
        <f t="shared" si="57"/>
        <v>1234293</v>
      </c>
      <c r="E32" s="47">
        <f t="shared" si="57"/>
        <v>1046192</v>
      </c>
      <c r="F32" s="47">
        <f t="shared" si="57"/>
        <v>842824</v>
      </c>
      <c r="G32" s="47">
        <f t="shared" si="57"/>
        <v>655496</v>
      </c>
      <c r="H32" s="47">
        <f t="shared" si="57"/>
        <v>482927</v>
      </c>
      <c r="I32" s="47">
        <f t="shared" si="57"/>
        <v>372197</v>
      </c>
      <c r="J32" s="47">
        <f t="shared" si="57"/>
        <v>315162</v>
      </c>
      <c r="K32" s="47">
        <f t="shared" si="57"/>
        <v>254620</v>
      </c>
      <c r="L32" s="125">
        <f t="shared" si="57"/>
        <v>160708</v>
      </c>
      <c r="M32" s="47">
        <f t="shared" si="57"/>
        <v>267647</v>
      </c>
      <c r="N32" s="47">
        <f t="shared" si="57"/>
        <v>285785</v>
      </c>
      <c r="O32" s="47">
        <f t="shared" si="57"/>
        <v>301848</v>
      </c>
      <c r="P32" s="47">
        <f t="shared" si="57"/>
        <v>315162</v>
      </c>
      <c r="Q32" s="47">
        <f t="shared" si="57"/>
        <v>330654</v>
      </c>
      <c r="R32" s="47">
        <f t="shared" si="57"/>
        <v>342483</v>
      </c>
      <c r="S32" s="47">
        <f t="shared" si="57"/>
        <v>358042</v>
      </c>
      <c r="T32" s="47">
        <f t="shared" si="57"/>
        <v>372197</v>
      </c>
      <c r="U32" s="47">
        <f t="shared" si="57"/>
        <v>384934</v>
      </c>
      <c r="V32" s="47">
        <f t="shared" si="57"/>
        <v>417526</v>
      </c>
      <c r="W32" s="47">
        <f t="shared" si="57"/>
        <v>454116</v>
      </c>
      <c r="X32" s="47">
        <f t="shared" si="6"/>
        <v>482927</v>
      </c>
      <c r="Y32" s="47">
        <f t="shared" ref="Y32:AD32" si="58">SUM(Y29:Y31)</f>
        <v>520562</v>
      </c>
      <c r="Z32" s="47">
        <f t="shared" si="58"/>
        <v>563137</v>
      </c>
      <c r="AA32" s="47">
        <f t="shared" si="58"/>
        <v>613984</v>
      </c>
      <c r="AB32" s="47">
        <f t="shared" si="58"/>
        <v>655496</v>
      </c>
      <c r="AC32" s="47">
        <f t="shared" si="58"/>
        <v>705625</v>
      </c>
      <c r="AD32" s="47">
        <f t="shared" si="58"/>
        <v>738495</v>
      </c>
      <c r="AE32" s="47">
        <f t="shared" ref="AE32:AF32" si="59">SUM(AE29:AE31)</f>
        <v>791905</v>
      </c>
      <c r="AF32" s="47">
        <f t="shared" si="59"/>
        <v>842824</v>
      </c>
      <c r="AG32" s="47">
        <f t="shared" ref="AG32:AH32" si="60">SUM(AG29:AG31)</f>
        <v>885689</v>
      </c>
      <c r="AH32" s="47">
        <f t="shared" si="60"/>
        <v>930644</v>
      </c>
      <c r="AI32" s="47">
        <f t="shared" ref="AI32:AJ32" si="61">SUM(AI29:AI31)</f>
        <v>996078</v>
      </c>
      <c r="AJ32" s="47">
        <f t="shared" si="61"/>
        <v>1046192</v>
      </c>
      <c r="AK32" s="47">
        <f t="shared" ref="AK32:AL32" si="62">SUM(AK29:AK31)</f>
        <v>1086247</v>
      </c>
      <c r="AL32" s="47">
        <f t="shared" si="62"/>
        <v>1123690</v>
      </c>
      <c r="AM32" s="47">
        <f t="shared" ref="AM32:AN32" si="63">SUM(AM29:AM31)</f>
        <v>1173753</v>
      </c>
      <c r="AN32" s="47">
        <f t="shared" si="63"/>
        <v>1234293</v>
      </c>
      <c r="AO32" s="47">
        <f t="shared" ref="AO32:AP32" si="64">SUM(AO29:AO31)</f>
        <v>1273314</v>
      </c>
      <c r="AP32" s="47">
        <f t="shared" si="64"/>
        <v>1311857</v>
      </c>
      <c r="AQ32" s="47">
        <f t="shared" ref="AQ32:AR32" si="65">SUM(AQ29:AQ31)</f>
        <v>1361655</v>
      </c>
      <c r="AR32" s="47">
        <f t="shared" si="65"/>
        <v>1413885</v>
      </c>
      <c r="AS32" s="125">
        <f t="shared" ref="AS32" si="66">SUM(AS29:AS31)</f>
        <v>1476053</v>
      </c>
    </row>
    <row r="33" spans="1:45" ht="20.100000000000001" customHeight="1">
      <c r="A33" s="7"/>
      <c r="B33" s="132"/>
      <c r="C33" s="186"/>
      <c r="D33" s="186"/>
      <c r="E33" s="186"/>
      <c r="F33" s="186"/>
      <c r="G33" s="186"/>
      <c r="H33" s="186"/>
      <c r="I33" s="186"/>
      <c r="J33" s="133"/>
      <c r="K33" s="133"/>
      <c r="L33" s="134"/>
      <c r="M33" s="138"/>
      <c r="N33" s="139"/>
      <c r="O33" s="146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270"/>
      <c r="AS33" s="203"/>
    </row>
    <row r="34" spans="1:45" ht="20.100000000000001" customHeight="1">
      <c r="A34" s="7"/>
      <c r="B34" s="111" t="s">
        <v>63</v>
      </c>
      <c r="C34" s="180"/>
      <c r="D34" s="180"/>
      <c r="E34" s="180"/>
      <c r="F34" s="180"/>
      <c r="G34" s="180"/>
      <c r="H34" s="180"/>
      <c r="I34" s="180"/>
      <c r="J34" s="127"/>
      <c r="K34" s="127"/>
      <c r="L34" s="134"/>
      <c r="M34" s="138"/>
      <c r="N34" s="139"/>
      <c r="O34" s="139"/>
      <c r="P34" s="139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270"/>
      <c r="AS34" s="203"/>
    </row>
    <row r="35" spans="1:45" ht="23.25" customHeight="1">
      <c r="A35" s="8"/>
      <c r="B35" s="114" t="s">
        <v>64</v>
      </c>
      <c r="C35" s="87">
        <v>143054</v>
      </c>
      <c r="D35" s="87">
        <v>158342</v>
      </c>
      <c r="E35" s="87">
        <v>104146</v>
      </c>
      <c r="F35" s="87">
        <v>138700</v>
      </c>
      <c r="G35" s="87">
        <v>93896</v>
      </c>
      <c r="H35" s="87">
        <v>26730</v>
      </c>
      <c r="I35" s="87">
        <v>90319</v>
      </c>
      <c r="J35" s="42">
        <v>90210</v>
      </c>
      <c r="K35" s="87">
        <v>26747</v>
      </c>
      <c r="L35" s="88">
        <v>68059</v>
      </c>
      <c r="M35" s="87">
        <v>26746</v>
      </c>
      <c r="N35" s="87">
        <v>26742</v>
      </c>
      <c r="O35" s="87">
        <v>90655</v>
      </c>
      <c r="P35" s="115">
        <f>J35</f>
        <v>90210</v>
      </c>
      <c r="Q35" s="87">
        <v>90235</v>
      </c>
      <c r="R35" s="87">
        <v>90261</v>
      </c>
      <c r="S35" s="87">
        <v>90289</v>
      </c>
      <c r="T35" s="115">
        <f>I35</f>
        <v>90319</v>
      </c>
      <c r="U35" s="87">
        <v>93021</v>
      </c>
      <c r="V35" s="87">
        <v>93509</v>
      </c>
      <c r="W35" s="87">
        <v>93343</v>
      </c>
      <c r="X35" s="87">
        <f t="shared" si="6"/>
        <v>26730</v>
      </c>
      <c r="Y35" s="87">
        <v>26721</v>
      </c>
      <c r="Z35" s="87">
        <v>26706</v>
      </c>
      <c r="AA35" s="87">
        <v>93700</v>
      </c>
      <c r="AB35" s="115">
        <f>G35</f>
        <v>93896</v>
      </c>
      <c r="AC35" s="115">
        <v>107865</v>
      </c>
      <c r="AD35" s="115">
        <v>148700</v>
      </c>
      <c r="AE35" s="115">
        <v>123700</v>
      </c>
      <c r="AF35" s="115">
        <f>F35</f>
        <v>138700</v>
      </c>
      <c r="AG35" s="115">
        <v>97000</v>
      </c>
      <c r="AH35" s="115">
        <v>77000</v>
      </c>
      <c r="AI35" s="115">
        <v>84409</v>
      </c>
      <c r="AJ35" s="115">
        <f>E35</f>
        <v>104146</v>
      </c>
      <c r="AK35" s="115">
        <v>59379</v>
      </c>
      <c r="AL35" s="115">
        <v>56566</v>
      </c>
      <c r="AM35" s="115">
        <v>122629</v>
      </c>
      <c r="AN35" s="115">
        <f>D35</f>
        <v>158342</v>
      </c>
      <c r="AO35" s="115">
        <v>207221</v>
      </c>
      <c r="AP35" s="115">
        <v>168483</v>
      </c>
      <c r="AQ35" s="115">
        <v>118574</v>
      </c>
      <c r="AR35" s="271">
        <f t="shared" ref="AR35:AS39" si="67">C35</f>
        <v>143054</v>
      </c>
      <c r="AS35" s="116">
        <v>85056</v>
      </c>
    </row>
    <row r="36" spans="1:45" ht="20.100000000000001" customHeight="1">
      <c r="A36" s="8"/>
      <c r="B36" s="114" t="s">
        <v>65</v>
      </c>
      <c r="C36" s="87">
        <v>277176</v>
      </c>
      <c r="D36" s="87">
        <v>176407</v>
      </c>
      <c r="E36" s="87">
        <v>152413</v>
      </c>
      <c r="F36" s="87">
        <v>112595</v>
      </c>
      <c r="G36" s="87">
        <v>72610</v>
      </c>
      <c r="H36" s="87">
        <v>56893</v>
      </c>
      <c r="I36" s="87">
        <v>60724</v>
      </c>
      <c r="J36" s="87">
        <v>19351</v>
      </c>
      <c r="K36" s="87">
        <v>16039</v>
      </c>
      <c r="L36" s="88">
        <v>10534</v>
      </c>
      <c r="M36" s="87">
        <v>15779</v>
      </c>
      <c r="N36" s="87">
        <v>14413</v>
      </c>
      <c r="O36" s="87">
        <v>18974</v>
      </c>
      <c r="P36" s="115">
        <f t="shared" ref="P36:P39" si="68">J36</f>
        <v>19351</v>
      </c>
      <c r="Q36" s="87">
        <v>58731</v>
      </c>
      <c r="R36" s="87">
        <v>65783</v>
      </c>
      <c r="S36" s="87">
        <v>63261</v>
      </c>
      <c r="T36" s="115">
        <f t="shared" ref="T36:T39" si="69">I36</f>
        <v>60724</v>
      </c>
      <c r="U36" s="87">
        <v>61867</v>
      </c>
      <c r="V36" s="87">
        <v>57155</v>
      </c>
      <c r="W36" s="87">
        <v>51485</v>
      </c>
      <c r="X36" s="87">
        <f t="shared" si="6"/>
        <v>56893</v>
      </c>
      <c r="Y36" s="87">
        <v>53980</v>
      </c>
      <c r="Z36" s="87">
        <v>59001</v>
      </c>
      <c r="AA36" s="87">
        <v>68228</v>
      </c>
      <c r="AB36" s="115">
        <f>G36</f>
        <v>72610</v>
      </c>
      <c r="AC36" s="115">
        <v>69318</v>
      </c>
      <c r="AD36" s="115">
        <v>78739</v>
      </c>
      <c r="AE36" s="115">
        <v>116916</v>
      </c>
      <c r="AF36" s="115">
        <f>F36</f>
        <v>112595</v>
      </c>
      <c r="AG36" s="115">
        <v>110787</v>
      </c>
      <c r="AH36" s="115">
        <v>109846</v>
      </c>
      <c r="AI36" s="115">
        <v>105798</v>
      </c>
      <c r="AJ36" s="115">
        <f>E36</f>
        <v>152413</v>
      </c>
      <c r="AK36" s="115">
        <v>150915</v>
      </c>
      <c r="AL36" s="115">
        <v>170113</v>
      </c>
      <c r="AM36" s="115">
        <v>170057</v>
      </c>
      <c r="AN36" s="115">
        <f>D36</f>
        <v>176407</v>
      </c>
      <c r="AO36" s="115">
        <v>233588</v>
      </c>
      <c r="AP36" s="115">
        <v>233458</v>
      </c>
      <c r="AQ36" s="115">
        <v>255666</v>
      </c>
      <c r="AR36" s="271">
        <f t="shared" si="67"/>
        <v>277176</v>
      </c>
      <c r="AS36" s="116">
        <v>266928</v>
      </c>
    </row>
    <row r="37" spans="1:45" ht="20.100000000000001" customHeight="1">
      <c r="A37" s="8"/>
      <c r="B37" s="119" t="s">
        <v>66</v>
      </c>
      <c r="C37" s="87">
        <v>1070</v>
      </c>
      <c r="D37" s="87">
        <v>856</v>
      </c>
      <c r="E37" s="87">
        <v>1927</v>
      </c>
      <c r="F37" s="87">
        <v>2661</v>
      </c>
      <c r="G37" s="87">
        <v>1077</v>
      </c>
      <c r="H37" s="87">
        <v>2298</v>
      </c>
      <c r="I37" s="87">
        <v>1196</v>
      </c>
      <c r="J37" s="87">
        <v>268</v>
      </c>
      <c r="K37" s="87">
        <v>197</v>
      </c>
      <c r="L37" s="88">
        <v>133</v>
      </c>
      <c r="M37" s="87">
        <v>221</v>
      </c>
      <c r="N37" s="87">
        <v>238</v>
      </c>
      <c r="O37" s="87">
        <v>250</v>
      </c>
      <c r="P37" s="115">
        <f t="shared" si="68"/>
        <v>268</v>
      </c>
      <c r="Q37" s="87">
        <v>757</v>
      </c>
      <c r="R37" s="87">
        <v>699</v>
      </c>
      <c r="S37" s="87">
        <v>870</v>
      </c>
      <c r="T37" s="115">
        <f t="shared" si="69"/>
        <v>1196</v>
      </c>
      <c r="U37" s="87">
        <v>348</v>
      </c>
      <c r="V37" s="87">
        <v>1391</v>
      </c>
      <c r="W37" s="87">
        <v>1803</v>
      </c>
      <c r="X37" s="87">
        <f t="shared" si="6"/>
        <v>2298</v>
      </c>
      <c r="Y37" s="87">
        <v>2462</v>
      </c>
      <c r="Z37" s="87">
        <v>1215</v>
      </c>
      <c r="AA37" s="87">
        <v>1204</v>
      </c>
      <c r="AB37" s="115">
        <f>G37</f>
        <v>1077</v>
      </c>
      <c r="AC37" s="115">
        <v>965</v>
      </c>
      <c r="AD37" s="115">
        <v>1595</v>
      </c>
      <c r="AE37" s="115">
        <v>1946</v>
      </c>
      <c r="AF37" s="115">
        <f>F37</f>
        <v>2661</v>
      </c>
      <c r="AG37" s="115">
        <v>2835</v>
      </c>
      <c r="AH37" s="115">
        <v>2143</v>
      </c>
      <c r="AI37" s="115">
        <v>2182</v>
      </c>
      <c r="AJ37" s="115">
        <f>E37</f>
        <v>1927</v>
      </c>
      <c r="AK37" s="115">
        <v>2135</v>
      </c>
      <c r="AL37" s="115">
        <v>894</v>
      </c>
      <c r="AM37" s="115">
        <v>936</v>
      </c>
      <c r="AN37" s="115">
        <f>D37</f>
        <v>856</v>
      </c>
      <c r="AO37" s="115">
        <v>812</v>
      </c>
      <c r="AP37" s="115">
        <v>861</v>
      </c>
      <c r="AQ37" s="115">
        <v>941</v>
      </c>
      <c r="AR37" s="271">
        <f t="shared" si="67"/>
        <v>1070</v>
      </c>
      <c r="AS37" s="116">
        <v>1150</v>
      </c>
    </row>
    <row r="38" spans="1:45" ht="20.100000000000001" customHeight="1">
      <c r="A38" s="8"/>
      <c r="B38" s="119" t="s">
        <v>117</v>
      </c>
      <c r="C38" s="199">
        <v>0</v>
      </c>
      <c r="D38" s="199">
        <v>0</v>
      </c>
      <c r="E38" s="199">
        <v>0</v>
      </c>
      <c r="F38" s="199">
        <v>0</v>
      </c>
      <c r="G38" s="199">
        <v>0</v>
      </c>
      <c r="H38" s="199">
        <v>0</v>
      </c>
      <c r="I38" s="199" t="s">
        <v>11</v>
      </c>
      <c r="J38" s="199" t="s">
        <v>11</v>
      </c>
      <c r="K38" s="199" t="s">
        <v>11</v>
      </c>
      <c r="L38" s="200" t="s">
        <v>11</v>
      </c>
      <c r="M38" s="199" t="s">
        <v>11</v>
      </c>
      <c r="N38" s="199" t="s">
        <v>11</v>
      </c>
      <c r="O38" s="199" t="s">
        <v>11</v>
      </c>
      <c r="P38" s="115" t="str">
        <f t="shared" si="68"/>
        <v>-</v>
      </c>
      <c r="Q38" s="199" t="s">
        <v>11</v>
      </c>
      <c r="R38" s="199" t="s">
        <v>11</v>
      </c>
      <c r="S38" s="199" t="s">
        <v>11</v>
      </c>
      <c r="T38" s="115" t="str">
        <f t="shared" si="69"/>
        <v>-</v>
      </c>
      <c r="U38" s="87">
        <v>827</v>
      </c>
      <c r="V38" s="87">
        <v>0</v>
      </c>
      <c r="W38" s="87">
        <v>0</v>
      </c>
      <c r="X38" s="87">
        <f t="shared" si="6"/>
        <v>0</v>
      </c>
      <c r="Y38" s="87">
        <v>0</v>
      </c>
      <c r="Z38" s="87">
        <v>0</v>
      </c>
      <c r="AA38" s="87">
        <v>0</v>
      </c>
      <c r="AB38" s="87">
        <f>G38</f>
        <v>0</v>
      </c>
      <c r="AC38" s="87">
        <v>0</v>
      </c>
      <c r="AD38" s="87">
        <v>0</v>
      </c>
      <c r="AE38" s="87">
        <v>0</v>
      </c>
      <c r="AF38" s="87">
        <f>F38</f>
        <v>0</v>
      </c>
      <c r="AG38" s="87">
        <v>0</v>
      </c>
      <c r="AH38" s="87">
        <v>0</v>
      </c>
      <c r="AI38" s="87">
        <v>0</v>
      </c>
      <c r="AJ38" s="87">
        <f>E38</f>
        <v>0</v>
      </c>
      <c r="AK38" s="87">
        <v>0</v>
      </c>
      <c r="AL38" s="87">
        <v>0</v>
      </c>
      <c r="AM38" s="87">
        <v>0</v>
      </c>
      <c r="AN38" s="87">
        <f>D38</f>
        <v>0</v>
      </c>
      <c r="AO38" s="87">
        <v>0</v>
      </c>
      <c r="AP38" s="87">
        <v>0</v>
      </c>
      <c r="AQ38" s="87">
        <v>0</v>
      </c>
      <c r="AR38" s="271">
        <f t="shared" si="67"/>
        <v>0</v>
      </c>
      <c r="AS38" s="116">
        <v>0</v>
      </c>
    </row>
    <row r="39" spans="1:45" ht="20.100000000000001" customHeight="1">
      <c r="A39" s="8"/>
      <c r="B39" s="114" t="s">
        <v>67</v>
      </c>
      <c r="C39" s="87">
        <v>41968</v>
      </c>
      <c r="D39" s="87">
        <v>40839</v>
      </c>
      <c r="E39" s="87">
        <v>33086</v>
      </c>
      <c r="F39" s="87">
        <v>15440</v>
      </c>
      <c r="G39" s="87">
        <v>12550</v>
      </c>
      <c r="H39" s="87">
        <v>5005</v>
      </c>
      <c r="I39" s="87">
        <v>4174</v>
      </c>
      <c r="J39" s="87">
        <v>2901</v>
      </c>
      <c r="K39" s="87">
        <v>1428</v>
      </c>
      <c r="L39" s="88">
        <v>1001</v>
      </c>
      <c r="M39" s="199" t="s">
        <v>11</v>
      </c>
      <c r="N39" s="199" t="s">
        <v>11</v>
      </c>
      <c r="O39" s="87">
        <v>645</v>
      </c>
      <c r="P39" s="115">
        <f t="shared" si="68"/>
        <v>2901</v>
      </c>
      <c r="Q39" s="199" t="s">
        <v>11</v>
      </c>
      <c r="R39" s="199" t="s">
        <v>11</v>
      </c>
      <c r="S39" s="87">
        <v>1091</v>
      </c>
      <c r="T39" s="115">
        <f t="shared" si="69"/>
        <v>4174</v>
      </c>
      <c r="U39" s="199" t="s">
        <v>11</v>
      </c>
      <c r="V39" s="199">
        <v>0</v>
      </c>
      <c r="W39" s="199">
        <v>1004</v>
      </c>
      <c r="X39" s="199">
        <f t="shared" si="6"/>
        <v>5005</v>
      </c>
      <c r="Y39" s="199">
        <v>0</v>
      </c>
      <c r="Z39" s="199">
        <v>4903</v>
      </c>
      <c r="AA39" s="199">
        <v>8771</v>
      </c>
      <c r="AB39" s="115">
        <f>G39</f>
        <v>12550</v>
      </c>
      <c r="AC39" s="115">
        <v>1833</v>
      </c>
      <c r="AD39" s="115">
        <v>4920</v>
      </c>
      <c r="AE39" s="115">
        <v>9051</v>
      </c>
      <c r="AF39" s="115">
        <f>F39</f>
        <v>15440</v>
      </c>
      <c r="AG39" s="115">
        <v>3867</v>
      </c>
      <c r="AH39" s="115">
        <v>10988</v>
      </c>
      <c r="AI39" s="115">
        <v>20581</v>
      </c>
      <c r="AJ39" s="115">
        <f>E39</f>
        <v>33086</v>
      </c>
      <c r="AK39" s="115">
        <v>8607</v>
      </c>
      <c r="AL39" s="115">
        <v>19492</v>
      </c>
      <c r="AM39" s="115">
        <v>27438</v>
      </c>
      <c r="AN39" s="115">
        <f>D39</f>
        <v>40839</v>
      </c>
      <c r="AO39" s="115">
        <v>14171</v>
      </c>
      <c r="AP39" s="115">
        <v>20241</v>
      </c>
      <c r="AQ39" s="115">
        <v>27875</v>
      </c>
      <c r="AR39" s="271">
        <f t="shared" si="67"/>
        <v>41968</v>
      </c>
      <c r="AS39" s="116">
        <v>7562</v>
      </c>
    </row>
    <row r="40" spans="1:45" ht="20.100000000000001" customHeight="1">
      <c r="A40" s="7"/>
      <c r="B40" s="120" t="s">
        <v>68</v>
      </c>
      <c r="C40" s="46">
        <f t="shared" ref="C40:L40" si="70">SUM(C35:C39)</f>
        <v>463268</v>
      </c>
      <c r="D40" s="46">
        <f t="shared" si="70"/>
        <v>376444</v>
      </c>
      <c r="E40" s="46">
        <f t="shared" si="70"/>
        <v>291572</v>
      </c>
      <c r="F40" s="46">
        <f t="shared" si="70"/>
        <v>269396</v>
      </c>
      <c r="G40" s="46">
        <f t="shared" si="70"/>
        <v>180133</v>
      </c>
      <c r="H40" s="46">
        <f t="shared" si="70"/>
        <v>90926</v>
      </c>
      <c r="I40" s="46">
        <f t="shared" si="70"/>
        <v>156413</v>
      </c>
      <c r="J40" s="46">
        <f t="shared" si="70"/>
        <v>112730</v>
      </c>
      <c r="K40" s="46">
        <f t="shared" si="70"/>
        <v>44411</v>
      </c>
      <c r="L40" s="121">
        <f t="shared" si="70"/>
        <v>79727</v>
      </c>
      <c r="M40" s="46">
        <f t="shared" ref="M40:U40" si="71">SUM(M35:M39)</f>
        <v>42746</v>
      </c>
      <c r="N40" s="46">
        <f t="shared" si="71"/>
        <v>41393</v>
      </c>
      <c r="O40" s="46">
        <f t="shared" si="71"/>
        <v>110524</v>
      </c>
      <c r="P40" s="46">
        <f t="shared" si="71"/>
        <v>112730</v>
      </c>
      <c r="Q40" s="46">
        <f t="shared" si="71"/>
        <v>149723</v>
      </c>
      <c r="R40" s="46">
        <f t="shared" si="71"/>
        <v>156743</v>
      </c>
      <c r="S40" s="46">
        <f t="shared" si="71"/>
        <v>155511</v>
      </c>
      <c r="T40" s="46">
        <f t="shared" si="71"/>
        <v>156413</v>
      </c>
      <c r="U40" s="46">
        <f t="shared" si="71"/>
        <v>156063</v>
      </c>
      <c r="V40" s="46">
        <f t="shared" ref="V40:Y40" si="72">SUM(V35:V39)</f>
        <v>152055</v>
      </c>
      <c r="W40" s="46">
        <f t="shared" si="72"/>
        <v>147635</v>
      </c>
      <c r="X40" s="46">
        <f t="shared" si="6"/>
        <v>90926</v>
      </c>
      <c r="Y40" s="46">
        <f t="shared" si="72"/>
        <v>83163</v>
      </c>
      <c r="Z40" s="46">
        <f t="shared" ref="Z40:AA40" si="73">SUM(Z35:Z39)</f>
        <v>91825</v>
      </c>
      <c r="AA40" s="46">
        <f t="shared" si="73"/>
        <v>171903</v>
      </c>
      <c r="AB40" s="46">
        <f t="shared" ref="AB40:AC40" si="74">SUM(AB35:AB39)</f>
        <v>180133</v>
      </c>
      <c r="AC40" s="46">
        <f t="shared" si="74"/>
        <v>179981</v>
      </c>
      <c r="AD40" s="46">
        <f t="shared" ref="AD40:AE40" si="75">SUM(AD35:AD39)</f>
        <v>233954</v>
      </c>
      <c r="AE40" s="46">
        <f t="shared" si="75"/>
        <v>251613</v>
      </c>
      <c r="AF40" s="46">
        <f t="shared" ref="AF40:AG40" si="76">SUM(AF35:AF39)</f>
        <v>269396</v>
      </c>
      <c r="AG40" s="46">
        <f t="shared" si="76"/>
        <v>214489</v>
      </c>
      <c r="AH40" s="46">
        <f t="shared" ref="AH40:AI40" si="77">SUM(AH35:AH39)</f>
        <v>199977</v>
      </c>
      <c r="AI40" s="46">
        <f t="shared" si="77"/>
        <v>212970</v>
      </c>
      <c r="AJ40" s="46">
        <f t="shared" ref="AJ40:AK40" si="78">SUM(AJ35:AJ39)</f>
        <v>291572</v>
      </c>
      <c r="AK40" s="46">
        <f t="shared" si="78"/>
        <v>221036</v>
      </c>
      <c r="AL40" s="46">
        <f t="shared" ref="AL40:AM40" si="79">SUM(AL35:AL39)</f>
        <v>247065</v>
      </c>
      <c r="AM40" s="46">
        <f t="shared" si="79"/>
        <v>321060</v>
      </c>
      <c r="AN40" s="46">
        <f t="shared" ref="AN40:AO40" si="80">SUM(AN35:AN39)</f>
        <v>376444</v>
      </c>
      <c r="AO40" s="46">
        <f t="shared" si="80"/>
        <v>455792</v>
      </c>
      <c r="AP40" s="46">
        <f t="shared" ref="AP40:AQ40" si="81">SUM(AP35:AP39)</f>
        <v>423043</v>
      </c>
      <c r="AQ40" s="46">
        <f t="shared" si="81"/>
        <v>403056</v>
      </c>
      <c r="AR40" s="46">
        <f t="shared" ref="AR40:AS40" si="82">SUM(AR35:AR39)</f>
        <v>463268</v>
      </c>
      <c r="AS40" s="121">
        <f t="shared" si="82"/>
        <v>360696</v>
      </c>
    </row>
    <row r="41" spans="1:45" ht="20.100000000000001" customHeight="1">
      <c r="A41" s="8"/>
      <c r="B41" s="114"/>
      <c r="C41" s="181"/>
      <c r="D41" s="181"/>
      <c r="E41" s="181"/>
      <c r="F41" s="181"/>
      <c r="G41" s="181"/>
      <c r="H41" s="181"/>
      <c r="I41" s="181"/>
      <c r="J41" s="87"/>
      <c r="K41" s="87"/>
      <c r="L41" s="24"/>
      <c r="M41" s="138"/>
      <c r="N41" s="147"/>
      <c r="O41" s="147"/>
      <c r="P41" s="139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276"/>
      <c r="AS41" s="208"/>
    </row>
    <row r="42" spans="1:45" ht="20.100000000000001" customHeight="1">
      <c r="A42" s="7"/>
      <c r="B42" s="122" t="s">
        <v>20</v>
      </c>
      <c r="C42" s="183"/>
      <c r="D42" s="183"/>
      <c r="E42" s="183"/>
      <c r="F42" s="183"/>
      <c r="G42" s="183"/>
      <c r="H42" s="183"/>
      <c r="I42" s="183"/>
      <c r="J42" s="87"/>
      <c r="K42" s="87"/>
      <c r="L42" s="24"/>
      <c r="M42" s="138"/>
      <c r="N42" s="139"/>
      <c r="O42" s="139"/>
      <c r="P42" s="139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270"/>
      <c r="AS42" s="203"/>
    </row>
    <row r="43" spans="1:45" ht="20.100000000000001" customHeight="1">
      <c r="A43" s="8"/>
      <c r="B43" s="119" t="s">
        <v>69</v>
      </c>
      <c r="C43" s="87">
        <v>145053</v>
      </c>
      <c r="D43" s="87">
        <v>145142</v>
      </c>
      <c r="E43" s="87">
        <v>154107</v>
      </c>
      <c r="F43" s="87">
        <v>130215</v>
      </c>
      <c r="G43" s="87">
        <v>94878</v>
      </c>
      <c r="H43" s="87">
        <v>79360</v>
      </c>
      <c r="I43" s="87">
        <v>82844</v>
      </c>
      <c r="J43" s="87">
        <f>97911+1</f>
        <v>97912</v>
      </c>
      <c r="K43" s="87">
        <v>61934</v>
      </c>
      <c r="L43" s="88">
        <v>59104</v>
      </c>
      <c r="M43" s="87">
        <v>79116</v>
      </c>
      <c r="N43" s="87">
        <v>103470</v>
      </c>
      <c r="O43" s="87">
        <v>85728</v>
      </c>
      <c r="P43" s="115">
        <f>J43</f>
        <v>97912</v>
      </c>
      <c r="Q43" s="87">
        <v>120418</v>
      </c>
      <c r="R43" s="87">
        <v>104322</v>
      </c>
      <c r="S43" s="87">
        <v>89228</v>
      </c>
      <c r="T43" s="115">
        <f>I43</f>
        <v>82844</v>
      </c>
      <c r="U43" s="87">
        <v>107225</v>
      </c>
      <c r="V43" s="87">
        <v>139478</v>
      </c>
      <c r="W43" s="87">
        <v>131788</v>
      </c>
      <c r="X43" s="87">
        <f t="shared" si="6"/>
        <v>79360</v>
      </c>
      <c r="Y43" s="87">
        <v>193274</v>
      </c>
      <c r="Z43" s="87">
        <v>130345</v>
      </c>
      <c r="AA43" s="87">
        <v>120546</v>
      </c>
      <c r="AB43" s="115">
        <f t="shared" ref="AB43:AB52" si="83">G43</f>
        <v>94878</v>
      </c>
      <c r="AC43" s="115">
        <v>170075</v>
      </c>
      <c r="AD43" s="115">
        <v>145535</v>
      </c>
      <c r="AE43" s="115">
        <v>134100</v>
      </c>
      <c r="AF43" s="115">
        <f t="shared" ref="AF43:AG52" si="84">F43</f>
        <v>130215</v>
      </c>
      <c r="AG43" s="115">
        <v>220084</v>
      </c>
      <c r="AH43" s="115">
        <v>231812</v>
      </c>
      <c r="AI43" s="115">
        <v>218491</v>
      </c>
      <c r="AJ43" s="115">
        <f t="shared" ref="AJ43:AJ52" si="85">E43</f>
        <v>154107</v>
      </c>
      <c r="AK43" s="115">
        <v>223153</v>
      </c>
      <c r="AL43" s="115">
        <v>273510</v>
      </c>
      <c r="AM43" s="115">
        <v>206222</v>
      </c>
      <c r="AN43" s="115">
        <f t="shared" ref="AN43:AN52" si="86">D43</f>
        <v>145142</v>
      </c>
      <c r="AO43" s="115">
        <v>202697</v>
      </c>
      <c r="AP43" s="115">
        <v>170980</v>
      </c>
      <c r="AQ43" s="115">
        <v>168882</v>
      </c>
      <c r="AR43" s="271">
        <f t="shared" ref="AR43:AS52" si="87">C43</f>
        <v>145053</v>
      </c>
      <c r="AS43" s="116">
        <v>239111</v>
      </c>
    </row>
    <row r="44" spans="1:45" ht="24" customHeight="1">
      <c r="A44" s="8"/>
      <c r="B44" s="135" t="s">
        <v>158</v>
      </c>
      <c r="C44" s="87">
        <v>30802</v>
      </c>
      <c r="D44" s="87">
        <v>33406</v>
      </c>
      <c r="E44" s="87">
        <v>26896</v>
      </c>
      <c r="F44" s="87">
        <v>19311</v>
      </c>
      <c r="G44" s="87">
        <v>15593</v>
      </c>
      <c r="H44" s="87">
        <v>13215</v>
      </c>
      <c r="I44" s="87">
        <v>9778</v>
      </c>
      <c r="J44" s="87">
        <v>6793</v>
      </c>
      <c r="K44" s="87">
        <f>625+4758</f>
        <v>5383</v>
      </c>
      <c r="L44" s="88">
        <v>0</v>
      </c>
      <c r="M44" s="87">
        <v>875</v>
      </c>
      <c r="N44" s="87">
        <v>9018</v>
      </c>
      <c r="O44" s="87">
        <v>8199</v>
      </c>
      <c r="P44" s="115">
        <f t="shared" ref="P44:P52" si="88">J44</f>
        <v>6793</v>
      </c>
      <c r="Q44" s="87">
        <v>9005</v>
      </c>
      <c r="R44" s="87">
        <v>11511</v>
      </c>
      <c r="S44" s="87">
        <v>11167</v>
      </c>
      <c r="T44" s="115">
        <f t="shared" ref="T44:T52" si="89">I44</f>
        <v>9778</v>
      </c>
      <c r="U44" s="87">
        <v>10488</v>
      </c>
      <c r="V44" s="87">
        <v>14828</v>
      </c>
      <c r="W44" s="87">
        <v>14395</v>
      </c>
      <c r="X44" s="87">
        <f t="shared" si="6"/>
        <v>13215</v>
      </c>
      <c r="Y44" s="87">
        <v>15528</v>
      </c>
      <c r="Z44" s="87">
        <v>20554</v>
      </c>
      <c r="AA44" s="87">
        <v>18733</v>
      </c>
      <c r="AB44" s="115">
        <f t="shared" si="83"/>
        <v>15593</v>
      </c>
      <c r="AC44" s="115">
        <v>16961</v>
      </c>
      <c r="AD44" s="115">
        <v>22290</v>
      </c>
      <c r="AE44" s="115">
        <v>21924</v>
      </c>
      <c r="AF44" s="115">
        <f t="shared" si="84"/>
        <v>19311</v>
      </c>
      <c r="AG44" s="115">
        <v>23105</v>
      </c>
      <c r="AH44" s="115">
        <v>28812</v>
      </c>
      <c r="AI44" s="115">
        <v>26460</v>
      </c>
      <c r="AJ44" s="115">
        <f t="shared" si="85"/>
        <v>26896</v>
      </c>
      <c r="AK44" s="115">
        <v>29023</v>
      </c>
      <c r="AL44" s="115">
        <v>33091</v>
      </c>
      <c r="AM44" s="115">
        <v>34280</v>
      </c>
      <c r="AN44" s="115">
        <f t="shared" si="86"/>
        <v>33406</v>
      </c>
      <c r="AO44" s="115">
        <v>33367</v>
      </c>
      <c r="AP44" s="115">
        <v>36892</v>
      </c>
      <c r="AQ44" s="115">
        <v>36366</v>
      </c>
      <c r="AR44" s="271">
        <f t="shared" si="87"/>
        <v>30802</v>
      </c>
      <c r="AS44" s="116">
        <v>35052</v>
      </c>
    </row>
    <row r="45" spans="1:45" ht="20.100000000000001" customHeight="1">
      <c r="A45" s="8"/>
      <c r="B45" s="114" t="s">
        <v>70</v>
      </c>
      <c r="C45" s="87">
        <v>162369</v>
      </c>
      <c r="D45" s="87">
        <v>155393</v>
      </c>
      <c r="E45" s="87">
        <v>196135</v>
      </c>
      <c r="F45" s="87">
        <v>210616</v>
      </c>
      <c r="G45" s="87">
        <v>168928</v>
      </c>
      <c r="H45" s="87">
        <v>76597</v>
      </c>
      <c r="I45" s="87">
        <v>83582</v>
      </c>
      <c r="J45" s="87">
        <v>68634</v>
      </c>
      <c r="K45" s="87">
        <v>130135</v>
      </c>
      <c r="L45" s="88">
        <v>37239</v>
      </c>
      <c r="M45" s="87">
        <v>132595</v>
      </c>
      <c r="N45" s="87">
        <v>110566</v>
      </c>
      <c r="O45" s="87">
        <v>67016</v>
      </c>
      <c r="P45" s="115">
        <f t="shared" si="88"/>
        <v>68634</v>
      </c>
      <c r="Q45" s="87">
        <v>78972</v>
      </c>
      <c r="R45" s="87">
        <v>68366</v>
      </c>
      <c r="S45" s="87">
        <v>78946</v>
      </c>
      <c r="T45" s="115">
        <f t="shared" si="89"/>
        <v>83582</v>
      </c>
      <c r="U45" s="87">
        <v>68469</v>
      </c>
      <c r="V45" s="87">
        <v>12398</v>
      </c>
      <c r="W45" s="87">
        <v>10060</v>
      </c>
      <c r="X45" s="87">
        <f t="shared" si="6"/>
        <v>76597</v>
      </c>
      <c r="Y45" s="87">
        <v>102911</v>
      </c>
      <c r="Z45" s="87">
        <v>106741</v>
      </c>
      <c r="AA45" s="87">
        <v>76384</v>
      </c>
      <c r="AB45" s="115">
        <f t="shared" si="83"/>
        <v>168928</v>
      </c>
      <c r="AC45" s="115">
        <v>171760</v>
      </c>
      <c r="AD45" s="115">
        <v>113256</v>
      </c>
      <c r="AE45" s="115">
        <v>155329</v>
      </c>
      <c r="AF45" s="115">
        <f t="shared" si="84"/>
        <v>210616</v>
      </c>
      <c r="AG45" s="115">
        <v>136160</v>
      </c>
      <c r="AH45" s="115">
        <v>132951</v>
      </c>
      <c r="AI45" s="115">
        <v>111416</v>
      </c>
      <c r="AJ45" s="115">
        <f t="shared" si="85"/>
        <v>196135</v>
      </c>
      <c r="AK45" s="115">
        <v>110515</v>
      </c>
      <c r="AL45" s="115">
        <v>111515</v>
      </c>
      <c r="AM45" s="115">
        <v>138229</v>
      </c>
      <c r="AN45" s="115">
        <f t="shared" si="86"/>
        <v>155393</v>
      </c>
      <c r="AO45" s="115">
        <v>42956</v>
      </c>
      <c r="AP45" s="115">
        <v>19656</v>
      </c>
      <c r="AQ45" s="115">
        <v>70667</v>
      </c>
      <c r="AR45" s="271">
        <f t="shared" si="87"/>
        <v>162369</v>
      </c>
      <c r="AS45" s="116">
        <v>91346</v>
      </c>
    </row>
    <row r="46" spans="1:45" ht="20.100000000000001" customHeight="1">
      <c r="A46" s="8"/>
      <c r="B46" s="114" t="s">
        <v>65</v>
      </c>
      <c r="C46" s="87">
        <v>56762</v>
      </c>
      <c r="D46" s="87">
        <v>36471</v>
      </c>
      <c r="E46" s="87">
        <v>37306</v>
      </c>
      <c r="F46" s="87">
        <v>39021</v>
      </c>
      <c r="G46" s="87">
        <v>32509</v>
      </c>
      <c r="H46" s="87">
        <v>26706</v>
      </c>
      <c r="I46" s="87">
        <v>21818</v>
      </c>
      <c r="J46" s="87">
        <v>7774</v>
      </c>
      <c r="K46" s="87">
        <v>6611</v>
      </c>
      <c r="L46" s="88">
        <v>3505</v>
      </c>
      <c r="M46" s="87">
        <v>7004</v>
      </c>
      <c r="N46" s="87">
        <v>7166</v>
      </c>
      <c r="O46" s="87">
        <v>8830</v>
      </c>
      <c r="P46" s="115">
        <f t="shared" si="88"/>
        <v>7774</v>
      </c>
      <c r="Q46" s="87">
        <v>15322</v>
      </c>
      <c r="R46" s="87">
        <v>17957</v>
      </c>
      <c r="S46" s="87">
        <v>19526</v>
      </c>
      <c r="T46" s="115">
        <f t="shared" si="89"/>
        <v>21818</v>
      </c>
      <c r="U46" s="87">
        <v>23646</v>
      </c>
      <c r="V46" s="87">
        <v>23465</v>
      </c>
      <c r="W46" s="87">
        <v>29853</v>
      </c>
      <c r="X46" s="87">
        <f t="shared" si="6"/>
        <v>26706</v>
      </c>
      <c r="Y46" s="87">
        <v>27849</v>
      </c>
      <c r="Z46" s="87">
        <v>28571</v>
      </c>
      <c r="AA46" s="87">
        <v>32749</v>
      </c>
      <c r="AB46" s="115">
        <f t="shared" si="83"/>
        <v>32509</v>
      </c>
      <c r="AC46" s="115">
        <v>32655</v>
      </c>
      <c r="AD46" s="115">
        <v>35032</v>
      </c>
      <c r="AE46" s="115">
        <v>40110</v>
      </c>
      <c r="AF46" s="115">
        <f t="shared" si="84"/>
        <v>39021</v>
      </c>
      <c r="AG46" s="115">
        <v>40717</v>
      </c>
      <c r="AH46" s="115">
        <v>37977</v>
      </c>
      <c r="AI46" s="115">
        <v>37747</v>
      </c>
      <c r="AJ46" s="115">
        <f t="shared" si="85"/>
        <v>37306</v>
      </c>
      <c r="AK46" s="115">
        <v>35098</v>
      </c>
      <c r="AL46" s="115">
        <v>33455</v>
      </c>
      <c r="AM46" s="115">
        <v>34587</v>
      </c>
      <c r="AN46" s="115">
        <f t="shared" si="86"/>
        <v>36471</v>
      </c>
      <c r="AO46" s="115">
        <v>35608</v>
      </c>
      <c r="AP46" s="115">
        <v>38807</v>
      </c>
      <c r="AQ46" s="115">
        <v>47400</v>
      </c>
      <c r="AR46" s="271">
        <f t="shared" si="87"/>
        <v>56762</v>
      </c>
      <c r="AS46" s="116">
        <v>58301</v>
      </c>
    </row>
    <row r="47" spans="1:45" ht="23.25" customHeight="1">
      <c r="A47" s="8"/>
      <c r="B47" s="114" t="s">
        <v>118</v>
      </c>
      <c r="C47" s="87">
        <v>0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14370</v>
      </c>
      <c r="J47" s="199" t="s">
        <v>11</v>
      </c>
      <c r="K47" s="199" t="s">
        <v>11</v>
      </c>
      <c r="L47" s="200" t="s">
        <v>11</v>
      </c>
      <c r="M47" s="199" t="s">
        <v>11</v>
      </c>
      <c r="N47" s="199" t="s">
        <v>11</v>
      </c>
      <c r="O47" s="199" t="s">
        <v>11</v>
      </c>
      <c r="P47" s="115" t="str">
        <f t="shared" si="88"/>
        <v>-</v>
      </c>
      <c r="Q47" s="199" t="s">
        <v>11</v>
      </c>
      <c r="R47" s="87">
        <v>10267</v>
      </c>
      <c r="S47" s="87">
        <v>2917</v>
      </c>
      <c r="T47" s="115">
        <f t="shared" si="89"/>
        <v>14370</v>
      </c>
      <c r="U47" s="87">
        <v>6672</v>
      </c>
      <c r="V47" s="87">
        <v>0</v>
      </c>
      <c r="W47" s="87">
        <v>0</v>
      </c>
      <c r="X47" s="87">
        <f t="shared" si="6"/>
        <v>0</v>
      </c>
      <c r="Y47" s="87">
        <v>0</v>
      </c>
      <c r="Z47" s="87">
        <v>0</v>
      </c>
      <c r="AA47" s="87">
        <v>0</v>
      </c>
      <c r="AB47" s="87">
        <f t="shared" si="83"/>
        <v>0</v>
      </c>
      <c r="AC47" s="87">
        <v>0</v>
      </c>
      <c r="AD47" s="87">
        <v>0</v>
      </c>
      <c r="AE47" s="87">
        <v>0</v>
      </c>
      <c r="AF47" s="87">
        <f t="shared" si="84"/>
        <v>0</v>
      </c>
      <c r="AG47" s="87">
        <f t="shared" si="84"/>
        <v>0</v>
      </c>
      <c r="AH47" s="87">
        <v>0</v>
      </c>
      <c r="AI47" s="87">
        <v>0</v>
      </c>
      <c r="AJ47" s="87">
        <f t="shared" si="85"/>
        <v>0</v>
      </c>
      <c r="AK47" s="87">
        <v>0</v>
      </c>
      <c r="AL47" s="87">
        <v>0</v>
      </c>
      <c r="AM47" s="87">
        <v>0</v>
      </c>
      <c r="AN47" s="87">
        <f t="shared" si="86"/>
        <v>0</v>
      </c>
      <c r="AO47" s="87">
        <v>0</v>
      </c>
      <c r="AP47" s="87">
        <v>0</v>
      </c>
      <c r="AQ47" s="87">
        <v>0</v>
      </c>
      <c r="AR47" s="87">
        <f t="shared" si="87"/>
        <v>0</v>
      </c>
      <c r="AS47" s="88">
        <v>0</v>
      </c>
    </row>
    <row r="48" spans="1:45" ht="23.25" customHeight="1">
      <c r="A48" s="8"/>
      <c r="B48" s="114" t="s">
        <v>159</v>
      </c>
      <c r="C48" s="87">
        <v>0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3550</v>
      </c>
      <c r="J48" s="199" t="s">
        <v>11</v>
      </c>
      <c r="K48" s="199" t="s">
        <v>11</v>
      </c>
      <c r="L48" s="200" t="s">
        <v>11</v>
      </c>
      <c r="M48" s="199" t="s">
        <v>11</v>
      </c>
      <c r="N48" s="199" t="s">
        <v>11</v>
      </c>
      <c r="O48" s="199" t="s">
        <v>11</v>
      </c>
      <c r="P48" s="115" t="str">
        <f t="shared" si="88"/>
        <v>-</v>
      </c>
      <c r="Q48" s="199" t="s">
        <v>11</v>
      </c>
      <c r="R48" s="199" t="s">
        <v>11</v>
      </c>
      <c r="S48" s="199" t="s">
        <v>11</v>
      </c>
      <c r="T48" s="115">
        <f t="shared" si="89"/>
        <v>3550</v>
      </c>
      <c r="U48" s="199" t="s">
        <v>11</v>
      </c>
      <c r="V48" s="199">
        <v>0</v>
      </c>
      <c r="W48" s="199">
        <v>0</v>
      </c>
      <c r="X48" s="199">
        <f t="shared" si="6"/>
        <v>0</v>
      </c>
      <c r="Y48" s="199">
        <v>0</v>
      </c>
      <c r="Z48" s="199">
        <v>0</v>
      </c>
      <c r="AA48" s="199">
        <v>0</v>
      </c>
      <c r="AB48" s="199">
        <f t="shared" si="83"/>
        <v>0</v>
      </c>
      <c r="AC48" s="199">
        <v>0</v>
      </c>
      <c r="AD48" s="199">
        <v>0</v>
      </c>
      <c r="AE48" s="199">
        <v>0</v>
      </c>
      <c r="AF48" s="199">
        <f t="shared" si="84"/>
        <v>0</v>
      </c>
      <c r="AG48" s="199">
        <f t="shared" si="84"/>
        <v>0</v>
      </c>
      <c r="AH48" s="199">
        <v>0</v>
      </c>
      <c r="AI48" s="199">
        <v>0</v>
      </c>
      <c r="AJ48" s="87">
        <f t="shared" si="85"/>
        <v>0</v>
      </c>
      <c r="AK48" s="87">
        <v>0</v>
      </c>
      <c r="AL48" s="87">
        <v>0</v>
      </c>
      <c r="AM48" s="87">
        <v>0</v>
      </c>
      <c r="AN48" s="87">
        <f t="shared" si="86"/>
        <v>0</v>
      </c>
      <c r="AO48" s="87">
        <v>0</v>
      </c>
      <c r="AP48" s="87">
        <v>0</v>
      </c>
      <c r="AQ48" s="87">
        <v>0</v>
      </c>
      <c r="AR48" s="87">
        <f t="shared" si="87"/>
        <v>0</v>
      </c>
      <c r="AS48" s="88">
        <v>0</v>
      </c>
    </row>
    <row r="49" spans="1:45" ht="20.100000000000001" customHeight="1">
      <c r="A49" s="8"/>
      <c r="B49" s="114" t="s">
        <v>19</v>
      </c>
      <c r="C49" s="199">
        <v>0</v>
      </c>
      <c r="D49" s="199">
        <v>0</v>
      </c>
      <c r="E49" s="199">
        <v>0</v>
      </c>
      <c r="F49" s="199">
        <v>0</v>
      </c>
      <c r="G49" s="199">
        <v>0</v>
      </c>
      <c r="H49" s="199">
        <v>0</v>
      </c>
      <c r="I49" s="199" t="s">
        <v>11</v>
      </c>
      <c r="J49" s="199" t="s">
        <v>11</v>
      </c>
      <c r="K49" s="87">
        <v>828</v>
      </c>
      <c r="L49" s="88">
        <v>15</v>
      </c>
      <c r="M49" s="87">
        <v>6</v>
      </c>
      <c r="N49" s="199" t="s">
        <v>11</v>
      </c>
      <c r="O49" s="199" t="s">
        <v>11</v>
      </c>
      <c r="P49" s="115" t="str">
        <f t="shared" si="88"/>
        <v>-</v>
      </c>
      <c r="Q49" s="199" t="s">
        <v>11</v>
      </c>
      <c r="R49" s="199" t="s">
        <v>11</v>
      </c>
      <c r="S49" s="199" t="s">
        <v>11</v>
      </c>
      <c r="T49" s="115" t="str">
        <f t="shared" si="89"/>
        <v>-</v>
      </c>
      <c r="U49" s="199" t="s">
        <v>11</v>
      </c>
      <c r="V49" s="199">
        <v>64</v>
      </c>
      <c r="W49" s="199">
        <v>0</v>
      </c>
      <c r="X49" s="199">
        <f t="shared" si="6"/>
        <v>0</v>
      </c>
      <c r="Y49" s="199">
        <v>0</v>
      </c>
      <c r="Z49" s="199">
        <v>0</v>
      </c>
      <c r="AA49" s="199">
        <v>0</v>
      </c>
      <c r="AB49" s="199">
        <f t="shared" si="83"/>
        <v>0</v>
      </c>
      <c r="AC49" s="199">
        <v>0</v>
      </c>
      <c r="AD49" s="199">
        <v>0</v>
      </c>
      <c r="AE49" s="199">
        <v>0</v>
      </c>
      <c r="AF49" s="199">
        <f t="shared" si="84"/>
        <v>0</v>
      </c>
      <c r="AG49" s="199">
        <f t="shared" si="84"/>
        <v>0</v>
      </c>
      <c r="AH49" s="199">
        <v>0</v>
      </c>
      <c r="AI49" s="199">
        <v>0</v>
      </c>
      <c r="AJ49" s="87">
        <f t="shared" si="85"/>
        <v>0</v>
      </c>
      <c r="AK49" s="87">
        <v>0</v>
      </c>
      <c r="AL49" s="87">
        <v>0</v>
      </c>
      <c r="AM49" s="87">
        <v>0</v>
      </c>
      <c r="AN49" s="87">
        <f t="shared" si="86"/>
        <v>0</v>
      </c>
      <c r="AO49" s="87">
        <v>0</v>
      </c>
      <c r="AP49" s="87">
        <v>0</v>
      </c>
      <c r="AQ49" s="87">
        <v>0</v>
      </c>
      <c r="AR49" s="87">
        <f t="shared" si="87"/>
        <v>0</v>
      </c>
      <c r="AS49" s="88">
        <v>0</v>
      </c>
    </row>
    <row r="50" spans="1:45" ht="20.100000000000001" customHeight="1">
      <c r="A50" s="8"/>
      <c r="B50" s="114" t="s">
        <v>71</v>
      </c>
      <c r="C50" s="199">
        <v>14117</v>
      </c>
      <c r="D50" s="199">
        <v>2358</v>
      </c>
      <c r="E50" s="199">
        <v>12</v>
      </c>
      <c r="F50" s="199">
        <v>19475</v>
      </c>
      <c r="G50" s="199">
        <v>23724</v>
      </c>
      <c r="H50" s="199">
        <v>1413</v>
      </c>
      <c r="I50" s="199" t="s">
        <v>11</v>
      </c>
      <c r="J50" s="87">
        <v>159</v>
      </c>
      <c r="K50" s="87">
        <v>57</v>
      </c>
      <c r="L50" s="88">
        <v>5</v>
      </c>
      <c r="M50" s="87">
        <v>1919</v>
      </c>
      <c r="N50" s="87">
        <v>1280</v>
      </c>
      <c r="O50" s="87">
        <v>252</v>
      </c>
      <c r="P50" s="115">
        <f t="shared" si="88"/>
        <v>159</v>
      </c>
      <c r="Q50" s="87">
        <v>3867</v>
      </c>
      <c r="R50" s="87">
        <v>124</v>
      </c>
      <c r="S50" s="87">
        <v>1483</v>
      </c>
      <c r="T50" s="115" t="str">
        <f t="shared" si="89"/>
        <v>-</v>
      </c>
      <c r="U50" s="87">
        <v>1868</v>
      </c>
      <c r="V50" s="87">
        <v>2230</v>
      </c>
      <c r="W50" s="87">
        <v>1939</v>
      </c>
      <c r="X50" s="87">
        <f t="shared" si="6"/>
        <v>1413</v>
      </c>
      <c r="Y50" s="87">
        <v>11520</v>
      </c>
      <c r="Z50" s="87">
        <v>16236</v>
      </c>
      <c r="AA50" s="87">
        <v>20915</v>
      </c>
      <c r="AB50" s="115">
        <f t="shared" si="83"/>
        <v>23724</v>
      </c>
      <c r="AC50" s="115">
        <v>39331</v>
      </c>
      <c r="AD50" s="115">
        <v>19246</v>
      </c>
      <c r="AE50" s="115">
        <v>20299</v>
      </c>
      <c r="AF50" s="115">
        <f t="shared" si="84"/>
        <v>19475</v>
      </c>
      <c r="AG50" s="115">
        <v>31818</v>
      </c>
      <c r="AH50" s="115">
        <v>13695</v>
      </c>
      <c r="AI50" s="115">
        <v>9591</v>
      </c>
      <c r="AJ50" s="115">
        <f t="shared" si="85"/>
        <v>12</v>
      </c>
      <c r="AK50" s="115">
        <v>22271</v>
      </c>
      <c r="AL50" s="115">
        <v>18971</v>
      </c>
      <c r="AM50" s="115">
        <v>13016</v>
      </c>
      <c r="AN50" s="115">
        <f t="shared" si="86"/>
        <v>2358</v>
      </c>
      <c r="AO50" s="115">
        <v>28442</v>
      </c>
      <c r="AP50" s="115">
        <v>28851</v>
      </c>
      <c r="AQ50" s="115">
        <v>24503</v>
      </c>
      <c r="AR50" s="87">
        <f t="shared" si="87"/>
        <v>14117</v>
      </c>
      <c r="AS50" s="116">
        <v>42805</v>
      </c>
    </row>
    <row r="51" spans="1:45" ht="20.100000000000001" customHeight="1">
      <c r="A51" s="8"/>
      <c r="B51" s="136" t="s">
        <v>66</v>
      </c>
      <c r="C51" s="87">
        <v>36598</v>
      </c>
      <c r="D51" s="87">
        <v>34563</v>
      </c>
      <c r="E51" s="87">
        <v>33267</v>
      </c>
      <c r="F51" s="87">
        <v>32572</v>
      </c>
      <c r="G51" s="87">
        <v>21663</v>
      </c>
      <c r="H51" s="87">
        <v>18114</v>
      </c>
      <c r="I51" s="87">
        <v>3499</v>
      </c>
      <c r="J51" s="87">
        <v>1322</v>
      </c>
      <c r="K51" s="87">
        <v>1135</v>
      </c>
      <c r="L51" s="88">
        <v>1253</v>
      </c>
      <c r="M51" s="87">
        <v>1577</v>
      </c>
      <c r="N51" s="87">
        <v>1688</v>
      </c>
      <c r="O51" s="87">
        <v>1225</v>
      </c>
      <c r="P51" s="115">
        <f t="shared" si="88"/>
        <v>1322</v>
      </c>
      <c r="Q51" s="87">
        <v>1965</v>
      </c>
      <c r="R51" s="87">
        <v>3143</v>
      </c>
      <c r="S51" s="87">
        <v>2804</v>
      </c>
      <c r="T51" s="115">
        <f t="shared" si="89"/>
        <v>3499</v>
      </c>
      <c r="U51" s="87">
        <v>2324</v>
      </c>
      <c r="V51" s="87">
        <v>6358</v>
      </c>
      <c r="W51" s="87">
        <v>5468</v>
      </c>
      <c r="X51" s="87">
        <f t="shared" si="6"/>
        <v>18114</v>
      </c>
      <c r="Y51" s="87">
        <v>8265</v>
      </c>
      <c r="Z51" s="87">
        <v>21448</v>
      </c>
      <c r="AA51" s="87">
        <v>20266</v>
      </c>
      <c r="AB51" s="115">
        <f t="shared" si="83"/>
        <v>21663</v>
      </c>
      <c r="AC51" s="115">
        <v>24710</v>
      </c>
      <c r="AD51" s="115">
        <v>27867</v>
      </c>
      <c r="AE51" s="115">
        <v>28820</v>
      </c>
      <c r="AF51" s="115">
        <f t="shared" si="84"/>
        <v>32572</v>
      </c>
      <c r="AG51" s="115">
        <v>36517</v>
      </c>
      <c r="AH51" s="115">
        <v>32460</v>
      </c>
      <c r="AI51" s="115">
        <v>30714</v>
      </c>
      <c r="AJ51" s="115">
        <f t="shared" si="85"/>
        <v>33267</v>
      </c>
      <c r="AK51" s="115">
        <v>38011</v>
      </c>
      <c r="AL51" s="115">
        <v>38402</v>
      </c>
      <c r="AM51" s="115">
        <v>34694</v>
      </c>
      <c r="AN51" s="115">
        <f t="shared" si="86"/>
        <v>34563</v>
      </c>
      <c r="AO51" s="115">
        <v>38078</v>
      </c>
      <c r="AP51" s="115">
        <v>37884</v>
      </c>
      <c r="AQ51" s="115">
        <v>34730</v>
      </c>
      <c r="AR51" s="271">
        <f t="shared" si="87"/>
        <v>36598</v>
      </c>
      <c r="AS51" s="116">
        <v>40253</v>
      </c>
    </row>
    <row r="52" spans="1:45" ht="20.100000000000001" customHeight="1">
      <c r="A52" s="7"/>
      <c r="B52" s="114" t="s">
        <v>72</v>
      </c>
      <c r="C52" s="87">
        <v>7748</v>
      </c>
      <c r="D52" s="87">
        <v>7857</v>
      </c>
      <c r="E52" s="87">
        <v>8436</v>
      </c>
      <c r="F52" s="87">
        <v>6852</v>
      </c>
      <c r="G52" s="87">
        <v>9846</v>
      </c>
      <c r="H52" s="87">
        <v>2294</v>
      </c>
      <c r="I52" s="87">
        <v>558</v>
      </c>
      <c r="J52" s="87">
        <v>513</v>
      </c>
      <c r="K52" s="87">
        <v>484</v>
      </c>
      <c r="L52" s="88">
        <v>593</v>
      </c>
      <c r="M52" s="87">
        <v>705</v>
      </c>
      <c r="N52" s="87">
        <v>462</v>
      </c>
      <c r="O52" s="87">
        <v>1746</v>
      </c>
      <c r="P52" s="115">
        <f t="shared" si="88"/>
        <v>513</v>
      </c>
      <c r="Q52" s="87">
        <v>880</v>
      </c>
      <c r="R52" s="87">
        <v>1292</v>
      </c>
      <c r="S52" s="87">
        <v>1953</v>
      </c>
      <c r="T52" s="115">
        <f t="shared" si="89"/>
        <v>558</v>
      </c>
      <c r="U52" s="87">
        <v>2737</v>
      </c>
      <c r="V52" s="87">
        <v>509</v>
      </c>
      <c r="W52" s="87">
        <v>384</v>
      </c>
      <c r="X52" s="87">
        <f t="shared" si="6"/>
        <v>2294</v>
      </c>
      <c r="Y52" s="87">
        <v>695</v>
      </c>
      <c r="Z52" s="87">
        <v>1565</v>
      </c>
      <c r="AA52" s="87">
        <v>1689</v>
      </c>
      <c r="AB52" s="115">
        <f t="shared" si="83"/>
        <v>9846</v>
      </c>
      <c r="AC52" s="115">
        <v>7576</v>
      </c>
      <c r="AD52" s="115">
        <v>6747</v>
      </c>
      <c r="AE52" s="115">
        <v>7209</v>
      </c>
      <c r="AF52" s="115">
        <f t="shared" si="84"/>
        <v>6852</v>
      </c>
      <c r="AG52" s="115">
        <v>7440</v>
      </c>
      <c r="AH52" s="115">
        <v>7547</v>
      </c>
      <c r="AI52" s="115">
        <v>9382</v>
      </c>
      <c r="AJ52" s="115">
        <f t="shared" si="85"/>
        <v>8436</v>
      </c>
      <c r="AK52" s="115">
        <v>8969</v>
      </c>
      <c r="AL52" s="115">
        <v>8221</v>
      </c>
      <c r="AM52" s="115">
        <v>7168</v>
      </c>
      <c r="AN52" s="115">
        <f t="shared" si="86"/>
        <v>7857</v>
      </c>
      <c r="AO52" s="115">
        <v>7398</v>
      </c>
      <c r="AP52" s="115">
        <v>6870</v>
      </c>
      <c r="AQ52" s="115">
        <v>7115</v>
      </c>
      <c r="AR52" s="271">
        <f t="shared" si="87"/>
        <v>7748</v>
      </c>
      <c r="AS52" s="116">
        <v>7010</v>
      </c>
    </row>
    <row r="53" spans="1:45" ht="20.100000000000001" customHeight="1">
      <c r="A53" s="8"/>
      <c r="B53" s="124" t="s">
        <v>73</v>
      </c>
      <c r="C53" s="47">
        <f t="shared" ref="C53:L53" si="90">SUM(C43:C52)</f>
        <v>453449</v>
      </c>
      <c r="D53" s="47">
        <f t="shared" si="90"/>
        <v>415190</v>
      </c>
      <c r="E53" s="47">
        <f t="shared" si="90"/>
        <v>456159</v>
      </c>
      <c r="F53" s="47">
        <f t="shared" si="90"/>
        <v>458062</v>
      </c>
      <c r="G53" s="47">
        <f t="shared" si="90"/>
        <v>367141</v>
      </c>
      <c r="H53" s="47">
        <f t="shared" si="90"/>
        <v>217699</v>
      </c>
      <c r="I53" s="47">
        <f t="shared" si="90"/>
        <v>219999</v>
      </c>
      <c r="J53" s="47">
        <f t="shared" si="90"/>
        <v>183107</v>
      </c>
      <c r="K53" s="47">
        <f t="shared" si="90"/>
        <v>206567</v>
      </c>
      <c r="L53" s="125">
        <f t="shared" si="90"/>
        <v>101714</v>
      </c>
      <c r="M53" s="47">
        <f t="shared" ref="M53:U53" si="91">SUM(M43:M52)</f>
        <v>223797</v>
      </c>
      <c r="N53" s="47">
        <f t="shared" si="91"/>
        <v>233650</v>
      </c>
      <c r="O53" s="47">
        <f t="shared" si="91"/>
        <v>172996</v>
      </c>
      <c r="P53" s="47">
        <f t="shared" si="91"/>
        <v>183107</v>
      </c>
      <c r="Q53" s="47">
        <f t="shared" si="91"/>
        <v>230429</v>
      </c>
      <c r="R53" s="47">
        <f t="shared" si="91"/>
        <v>216982</v>
      </c>
      <c r="S53" s="47">
        <f t="shared" si="91"/>
        <v>208024</v>
      </c>
      <c r="T53" s="47">
        <f t="shared" si="91"/>
        <v>219999</v>
      </c>
      <c r="U53" s="47">
        <f t="shared" si="91"/>
        <v>223429</v>
      </c>
      <c r="V53" s="47">
        <f t="shared" ref="V53:Y53" si="92">SUM(V43:V52)</f>
        <v>199330</v>
      </c>
      <c r="W53" s="47">
        <f t="shared" si="92"/>
        <v>193887</v>
      </c>
      <c r="X53" s="47">
        <f t="shared" si="6"/>
        <v>217699</v>
      </c>
      <c r="Y53" s="47">
        <f t="shared" si="92"/>
        <v>360042</v>
      </c>
      <c r="Z53" s="47">
        <f t="shared" ref="Z53:AA53" si="93">SUM(Z43:Z52)</f>
        <v>325460</v>
      </c>
      <c r="AA53" s="47">
        <f t="shared" si="93"/>
        <v>291282</v>
      </c>
      <c r="AB53" s="47">
        <f t="shared" ref="AB53:AC53" si="94">SUM(AB43:AB52)</f>
        <v>367141</v>
      </c>
      <c r="AC53" s="47">
        <f t="shared" si="94"/>
        <v>463068</v>
      </c>
      <c r="AD53" s="47">
        <f t="shared" ref="AD53:AI53" si="95">SUM(AD43:AD52)</f>
        <v>369973</v>
      </c>
      <c r="AE53" s="47">
        <f t="shared" si="95"/>
        <v>407791</v>
      </c>
      <c r="AF53" s="47">
        <f t="shared" si="95"/>
        <v>458062</v>
      </c>
      <c r="AG53" s="47">
        <f t="shared" si="95"/>
        <v>495841</v>
      </c>
      <c r="AH53" s="47">
        <f t="shared" si="95"/>
        <v>485254</v>
      </c>
      <c r="AI53" s="47">
        <f t="shared" si="95"/>
        <v>443801</v>
      </c>
      <c r="AJ53" s="47">
        <f t="shared" ref="AJ53:AK53" si="96">SUM(AJ43:AJ52)</f>
        <v>456159</v>
      </c>
      <c r="AK53" s="47">
        <f t="shared" si="96"/>
        <v>467040</v>
      </c>
      <c r="AL53" s="47">
        <f t="shared" ref="AL53:AM53" si="97">SUM(AL43:AL52)</f>
        <v>517165</v>
      </c>
      <c r="AM53" s="47">
        <f t="shared" si="97"/>
        <v>468196</v>
      </c>
      <c r="AN53" s="47">
        <f t="shared" ref="AN53:AO53" si="98">SUM(AN43:AN52)</f>
        <v>415190</v>
      </c>
      <c r="AO53" s="47">
        <f t="shared" si="98"/>
        <v>388546</v>
      </c>
      <c r="AP53" s="47">
        <f t="shared" ref="AP53:AQ53" si="99">SUM(AP43:AP52)</f>
        <v>339940</v>
      </c>
      <c r="AQ53" s="47">
        <f t="shared" si="99"/>
        <v>389663</v>
      </c>
      <c r="AR53" s="47">
        <f t="shared" ref="AR53:AS53" si="100">SUM(AR43:AR52)</f>
        <v>453449</v>
      </c>
      <c r="AS53" s="125">
        <f t="shared" si="100"/>
        <v>513878</v>
      </c>
    </row>
    <row r="54" spans="1:45" ht="20.100000000000001" customHeight="1">
      <c r="A54" s="8"/>
      <c r="B54" s="111"/>
      <c r="C54" s="180"/>
      <c r="D54" s="180"/>
      <c r="E54" s="180"/>
      <c r="F54" s="180"/>
      <c r="G54" s="180"/>
      <c r="H54" s="180"/>
      <c r="I54" s="180"/>
      <c r="J54" s="127"/>
      <c r="K54" s="127"/>
      <c r="L54" s="13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125"/>
    </row>
    <row r="55" spans="1:45" ht="20.100000000000001" customHeight="1">
      <c r="A55" s="8"/>
      <c r="B55" s="124" t="s">
        <v>74</v>
      </c>
      <c r="C55" s="47">
        <f t="shared" ref="C55:K55" si="101">C53+C40</f>
        <v>916717</v>
      </c>
      <c r="D55" s="47">
        <f t="shared" si="101"/>
        <v>791634</v>
      </c>
      <c r="E55" s="47">
        <f t="shared" si="101"/>
        <v>747731</v>
      </c>
      <c r="F55" s="47">
        <f t="shared" si="101"/>
        <v>727458</v>
      </c>
      <c r="G55" s="47">
        <f t="shared" si="101"/>
        <v>547274</v>
      </c>
      <c r="H55" s="47">
        <f t="shared" si="101"/>
        <v>308625</v>
      </c>
      <c r="I55" s="47">
        <f t="shared" si="101"/>
        <v>376412</v>
      </c>
      <c r="J55" s="47">
        <f t="shared" si="101"/>
        <v>295837</v>
      </c>
      <c r="K55" s="47">
        <f t="shared" si="101"/>
        <v>250978</v>
      </c>
      <c r="L55" s="125">
        <v>181441</v>
      </c>
      <c r="M55" s="47">
        <f>M53+M40</f>
        <v>266543</v>
      </c>
      <c r="N55" s="47">
        <f t="shared" ref="N55:U55" si="102">N53+N40</f>
        <v>275043</v>
      </c>
      <c r="O55" s="47">
        <f t="shared" si="102"/>
        <v>283520</v>
      </c>
      <c r="P55" s="47">
        <f t="shared" si="102"/>
        <v>295837</v>
      </c>
      <c r="Q55" s="47">
        <f t="shared" si="102"/>
        <v>380152</v>
      </c>
      <c r="R55" s="47">
        <f t="shared" si="102"/>
        <v>373725</v>
      </c>
      <c r="S55" s="47">
        <f t="shared" si="102"/>
        <v>363535</v>
      </c>
      <c r="T55" s="47">
        <f t="shared" si="102"/>
        <v>376412</v>
      </c>
      <c r="U55" s="47">
        <f t="shared" si="102"/>
        <v>379492</v>
      </c>
      <c r="V55" s="47">
        <f t="shared" ref="V55:Y55" si="103">V53+V40</f>
        <v>351385</v>
      </c>
      <c r="W55" s="47">
        <f t="shared" si="103"/>
        <v>341522</v>
      </c>
      <c r="X55" s="47">
        <f t="shared" si="6"/>
        <v>308625</v>
      </c>
      <c r="Y55" s="47">
        <f t="shared" si="103"/>
        <v>443205</v>
      </c>
      <c r="Z55" s="47">
        <f t="shared" ref="Z55:AA55" si="104">Z53+Z40</f>
        <v>417285</v>
      </c>
      <c r="AA55" s="47">
        <f t="shared" si="104"/>
        <v>463185</v>
      </c>
      <c r="AB55" s="47">
        <f t="shared" ref="AB55:AC55" si="105">AB53+AB40</f>
        <v>547274</v>
      </c>
      <c r="AC55" s="47">
        <f t="shared" si="105"/>
        <v>643049</v>
      </c>
      <c r="AD55" s="47">
        <f t="shared" ref="AD55:AI55" si="106">AD53+AD40</f>
        <v>603927</v>
      </c>
      <c r="AE55" s="47">
        <f t="shared" si="106"/>
        <v>659404</v>
      </c>
      <c r="AF55" s="47">
        <f t="shared" si="106"/>
        <v>727458</v>
      </c>
      <c r="AG55" s="47">
        <f t="shared" si="106"/>
        <v>710330</v>
      </c>
      <c r="AH55" s="47">
        <f t="shared" si="106"/>
        <v>685231</v>
      </c>
      <c r="AI55" s="47">
        <f t="shared" si="106"/>
        <v>656771</v>
      </c>
      <c r="AJ55" s="47">
        <f t="shared" ref="AJ55:AK55" si="107">AJ53+AJ40</f>
        <v>747731</v>
      </c>
      <c r="AK55" s="47">
        <f t="shared" si="107"/>
        <v>688076</v>
      </c>
      <c r="AL55" s="47">
        <f t="shared" ref="AL55:AM55" si="108">AL53+AL40</f>
        <v>764230</v>
      </c>
      <c r="AM55" s="47">
        <f t="shared" si="108"/>
        <v>789256</v>
      </c>
      <c r="AN55" s="47">
        <f t="shared" ref="AN55:AO55" si="109">AN53+AN40</f>
        <v>791634</v>
      </c>
      <c r="AO55" s="47">
        <f t="shared" si="109"/>
        <v>844338</v>
      </c>
      <c r="AP55" s="47">
        <f t="shared" ref="AP55:AQ55" si="110">AP53+AP40</f>
        <v>762983</v>
      </c>
      <c r="AQ55" s="47">
        <f t="shared" si="110"/>
        <v>792719</v>
      </c>
      <c r="AR55" s="47">
        <f t="shared" ref="AR55:AS55" si="111">AR53+AR40</f>
        <v>916717</v>
      </c>
      <c r="AS55" s="125">
        <f t="shared" si="111"/>
        <v>874574</v>
      </c>
    </row>
    <row r="56" spans="1:45" ht="20.100000000000001" customHeight="1">
      <c r="A56" s="7"/>
      <c r="B56" s="111"/>
      <c r="C56" s="180"/>
      <c r="D56" s="180"/>
      <c r="E56" s="180"/>
      <c r="F56" s="180"/>
      <c r="G56" s="180"/>
      <c r="H56" s="180"/>
      <c r="I56" s="180"/>
      <c r="J56" s="127"/>
      <c r="K56" s="127"/>
      <c r="L56" s="125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125"/>
    </row>
    <row r="57" spans="1:45" ht="20.100000000000001" customHeight="1">
      <c r="A57" s="7"/>
      <c r="B57" s="124" t="s">
        <v>75</v>
      </c>
      <c r="C57" s="47">
        <f t="shared" ref="C57:K57" si="112">C55+C32</f>
        <v>2330602</v>
      </c>
      <c r="D57" s="47">
        <f t="shared" si="112"/>
        <v>2025927</v>
      </c>
      <c r="E57" s="47">
        <f t="shared" si="112"/>
        <v>1793923</v>
      </c>
      <c r="F57" s="47">
        <f t="shared" si="112"/>
        <v>1570282</v>
      </c>
      <c r="G57" s="47">
        <f t="shared" si="112"/>
        <v>1202770</v>
      </c>
      <c r="H57" s="47">
        <f t="shared" si="112"/>
        <v>791552</v>
      </c>
      <c r="I57" s="47">
        <f t="shared" si="112"/>
        <v>748609</v>
      </c>
      <c r="J57" s="47">
        <f t="shared" si="112"/>
        <v>610999</v>
      </c>
      <c r="K57" s="47">
        <f t="shared" si="112"/>
        <v>505598</v>
      </c>
      <c r="L57" s="125">
        <v>342149</v>
      </c>
      <c r="M57" s="47">
        <f>M55+M32</f>
        <v>534190</v>
      </c>
      <c r="N57" s="47">
        <f t="shared" ref="N57:U57" si="113">N55+N32</f>
        <v>560828</v>
      </c>
      <c r="O57" s="47">
        <f t="shared" si="113"/>
        <v>585368</v>
      </c>
      <c r="P57" s="47">
        <f>P55+P32</f>
        <v>610999</v>
      </c>
      <c r="Q57" s="47">
        <f t="shared" si="113"/>
        <v>710806</v>
      </c>
      <c r="R57" s="47">
        <f t="shared" si="113"/>
        <v>716208</v>
      </c>
      <c r="S57" s="47">
        <f t="shared" si="113"/>
        <v>721577</v>
      </c>
      <c r="T57" s="47">
        <f t="shared" si="113"/>
        <v>748609</v>
      </c>
      <c r="U57" s="47">
        <f t="shared" si="113"/>
        <v>764426</v>
      </c>
      <c r="V57" s="47">
        <f t="shared" ref="V57:Y57" si="114">V55+V32</f>
        <v>768911</v>
      </c>
      <c r="W57" s="47">
        <f t="shared" si="114"/>
        <v>795638</v>
      </c>
      <c r="X57" s="47">
        <f t="shared" si="6"/>
        <v>791552</v>
      </c>
      <c r="Y57" s="47">
        <f t="shared" si="114"/>
        <v>963767</v>
      </c>
      <c r="Z57" s="47">
        <f t="shared" ref="Z57:AA57" si="115">Z55+Z32</f>
        <v>980422</v>
      </c>
      <c r="AA57" s="47">
        <f t="shared" si="115"/>
        <v>1077169</v>
      </c>
      <c r="AB57" s="47">
        <f t="shared" ref="AB57:AC57" si="116">AB55+AB32</f>
        <v>1202770</v>
      </c>
      <c r="AC57" s="47">
        <f t="shared" si="116"/>
        <v>1348674</v>
      </c>
      <c r="AD57" s="47">
        <f t="shared" ref="AD57:AI57" si="117">AD55+AD32</f>
        <v>1342422</v>
      </c>
      <c r="AE57" s="47">
        <f t="shared" si="117"/>
        <v>1451309</v>
      </c>
      <c r="AF57" s="47">
        <f t="shared" si="117"/>
        <v>1570282</v>
      </c>
      <c r="AG57" s="47">
        <f t="shared" si="117"/>
        <v>1596019</v>
      </c>
      <c r="AH57" s="47">
        <f t="shared" si="117"/>
        <v>1615875</v>
      </c>
      <c r="AI57" s="47">
        <f t="shared" si="117"/>
        <v>1652849</v>
      </c>
      <c r="AJ57" s="47">
        <f t="shared" ref="AJ57:AK57" si="118">AJ55+AJ32</f>
        <v>1793923</v>
      </c>
      <c r="AK57" s="47">
        <f t="shared" si="118"/>
        <v>1774323</v>
      </c>
      <c r="AL57" s="47">
        <f t="shared" ref="AL57:AM57" si="119">AL55+AL32</f>
        <v>1887920</v>
      </c>
      <c r="AM57" s="47">
        <f t="shared" si="119"/>
        <v>1963009</v>
      </c>
      <c r="AN57" s="47">
        <f t="shared" ref="AN57:AO57" si="120">AN55+AN32</f>
        <v>2025927</v>
      </c>
      <c r="AO57" s="47">
        <f t="shared" si="120"/>
        <v>2117652</v>
      </c>
      <c r="AP57" s="47">
        <f t="shared" ref="AP57:AQ57" si="121">AP55+AP32</f>
        <v>2074840</v>
      </c>
      <c r="AQ57" s="47">
        <f t="shared" si="121"/>
        <v>2154374</v>
      </c>
      <c r="AR57" s="47">
        <f t="shared" ref="AR57:AS57" si="122">AR55+AR32</f>
        <v>2330602</v>
      </c>
      <c r="AS57" s="125">
        <f t="shared" si="122"/>
        <v>2350627</v>
      </c>
    </row>
    <row r="58" spans="1:45" ht="20.100000000000001" customHeight="1">
      <c r="A58" s="2"/>
      <c r="B58" s="132"/>
      <c r="C58" s="186"/>
      <c r="D58" s="186"/>
      <c r="E58" s="186"/>
      <c r="F58" s="186"/>
      <c r="G58" s="186"/>
      <c r="H58" s="186"/>
      <c r="I58" s="186"/>
      <c r="J58" s="106"/>
      <c r="K58" s="130"/>
      <c r="L58" s="13"/>
      <c r="M58" s="138"/>
      <c r="N58" s="139"/>
      <c r="O58" s="139"/>
      <c r="P58" s="139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270"/>
      <c r="AS58" s="203"/>
    </row>
    <row r="59" spans="1:45" ht="20.100000000000001" customHeight="1" thickBot="1">
      <c r="A59" s="2"/>
      <c r="B59" s="259" t="s">
        <v>122</v>
      </c>
      <c r="C59" s="260"/>
      <c r="D59" s="260"/>
      <c r="E59" s="260"/>
      <c r="F59" s="260"/>
      <c r="G59" s="260"/>
      <c r="H59" s="260"/>
      <c r="I59" s="260"/>
      <c r="J59" s="260"/>
      <c r="K59" s="260"/>
      <c r="L59" s="261"/>
      <c r="M59" s="209"/>
      <c r="N59" s="210"/>
      <c r="O59" s="210"/>
      <c r="P59" s="211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  <c r="AK59" s="212"/>
      <c r="AL59" s="212"/>
      <c r="AM59" s="212"/>
      <c r="AN59" s="212"/>
      <c r="AO59" s="138"/>
      <c r="AP59" s="212"/>
      <c r="AQ59" s="212"/>
      <c r="AR59" s="212"/>
      <c r="AS59" s="258"/>
    </row>
    <row r="60" spans="1:45">
      <c r="AO60" s="257"/>
    </row>
  </sheetData>
  <mergeCells count="3">
    <mergeCell ref="B59:L59"/>
    <mergeCell ref="M3:R3"/>
    <mergeCell ref="G1:L1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47" orientation="portrait" horizontalDpi="300" verticalDpi="300" r:id="rId1"/>
  <ignoredErrors>
    <ignoredError sqref="L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45"/>
  <sheetViews>
    <sheetView showGridLines="0" zoomScale="90" zoomScaleNormal="90" workbookViewId="0">
      <pane xSplit="2" ySplit="3" topLeftCell="AN4" activePane="bottomRight" state="frozen"/>
      <selection pane="topRight" activeCell="C1" sqref="C1"/>
      <selection pane="bottomLeft" activeCell="A5" sqref="A5"/>
      <selection pane="bottomRight" activeCell="AR3" sqref="AR3"/>
    </sheetView>
  </sheetViews>
  <sheetFormatPr defaultColWidth="9" defaultRowHeight="13.8"/>
  <cols>
    <col min="1" max="1" width="3.5" style="5" customWidth="1"/>
    <col min="2" max="2" width="31.5" style="5" customWidth="1"/>
    <col min="3" max="3" width="13.09765625" style="5" customWidth="1"/>
    <col min="4" max="4" width="13.19921875" style="5" customWidth="1"/>
    <col min="5" max="5" width="11.8984375" style="5" customWidth="1"/>
    <col min="6" max="6" width="10.8984375" style="5" customWidth="1"/>
    <col min="7" max="7" width="9.19921875" style="5" customWidth="1"/>
    <col min="8" max="8" width="9.59765625" style="5" customWidth="1"/>
    <col min="9" max="9" width="8.8984375" style="5" bestFit="1" customWidth="1"/>
    <col min="10" max="21" width="10.59765625" style="5" customWidth="1"/>
    <col min="22" max="22" width="11.69921875" style="5" customWidth="1"/>
    <col min="23" max="16384" width="9" style="5"/>
  </cols>
  <sheetData>
    <row r="1" spans="1:45" ht="57" customHeight="1" thickBot="1">
      <c r="A1" s="2"/>
      <c r="B1" s="40"/>
      <c r="C1" s="40"/>
      <c r="D1" s="40"/>
      <c r="E1" s="40"/>
      <c r="F1" s="40"/>
      <c r="G1" s="40"/>
      <c r="H1" s="40"/>
      <c r="I1" s="40"/>
      <c r="J1" s="72"/>
      <c r="K1" s="72"/>
      <c r="L1" s="39"/>
      <c r="M1" s="39"/>
      <c r="N1" s="39"/>
      <c r="O1" s="39"/>
      <c r="P1" s="2"/>
      <c r="Q1" s="2"/>
      <c r="R1" s="2"/>
      <c r="S1" s="2"/>
      <c r="T1" s="2"/>
      <c r="U1" s="2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 s="269"/>
    </row>
    <row r="2" spans="1:45" ht="21" customHeight="1" thickBot="1">
      <c r="A2" s="2"/>
      <c r="B2" s="67" t="s">
        <v>29</v>
      </c>
      <c r="C2" s="265" t="s">
        <v>134</v>
      </c>
      <c r="D2" s="266"/>
      <c r="E2" s="266"/>
      <c r="F2" s="266"/>
      <c r="G2" s="266"/>
      <c r="H2" s="266"/>
      <c r="I2" s="266"/>
      <c r="J2" s="266"/>
      <c r="K2" s="266"/>
      <c r="L2" s="267"/>
      <c r="M2" s="265" t="s">
        <v>1</v>
      </c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7"/>
    </row>
    <row r="3" spans="1:45" ht="24.9" customHeight="1" thickBot="1">
      <c r="A3" s="2"/>
      <c r="B3" s="69" t="s">
        <v>47</v>
      </c>
      <c r="C3" s="155">
        <v>2025</v>
      </c>
      <c r="D3" s="155">
        <v>2024</v>
      </c>
      <c r="E3" s="155">
        <v>2023</v>
      </c>
      <c r="F3" s="155">
        <v>2022</v>
      </c>
      <c r="G3" s="155">
        <v>2021</v>
      </c>
      <c r="H3" s="155">
        <v>2020</v>
      </c>
      <c r="I3" s="155">
        <v>2019</v>
      </c>
      <c r="J3" s="155">
        <v>2018</v>
      </c>
      <c r="K3" s="155" t="s">
        <v>113</v>
      </c>
      <c r="L3" s="155">
        <v>2016</v>
      </c>
      <c r="M3" s="248" t="s">
        <v>48</v>
      </c>
      <c r="N3" s="155" t="s">
        <v>26</v>
      </c>
      <c r="O3" s="155" t="s">
        <v>25</v>
      </c>
      <c r="P3" s="155" t="s">
        <v>24</v>
      </c>
      <c r="Q3" s="155" t="s">
        <v>27</v>
      </c>
      <c r="R3" s="155" t="s">
        <v>28</v>
      </c>
      <c r="S3" s="155" t="s">
        <v>114</v>
      </c>
      <c r="T3" s="155" t="s">
        <v>115</v>
      </c>
      <c r="U3" s="155" t="s">
        <v>116</v>
      </c>
      <c r="V3" s="155" t="s">
        <v>131</v>
      </c>
      <c r="W3" s="155" t="s">
        <v>132</v>
      </c>
      <c r="X3" s="155" t="s">
        <v>133</v>
      </c>
      <c r="Y3" s="155" t="s">
        <v>138</v>
      </c>
      <c r="Z3" s="155" t="s">
        <v>140</v>
      </c>
      <c r="AA3" s="155" t="s">
        <v>141</v>
      </c>
      <c r="AB3" s="155" t="s">
        <v>142</v>
      </c>
      <c r="AC3" s="155" t="s">
        <v>143</v>
      </c>
      <c r="AD3" s="155" t="s">
        <v>144</v>
      </c>
      <c r="AE3" s="155" t="s">
        <v>145</v>
      </c>
      <c r="AF3" s="155" t="s">
        <v>146</v>
      </c>
      <c r="AG3" s="155" t="s">
        <v>147</v>
      </c>
      <c r="AH3" s="155" t="s">
        <v>148</v>
      </c>
      <c r="AI3" s="155" t="s">
        <v>149</v>
      </c>
      <c r="AJ3" s="155" t="s">
        <v>150</v>
      </c>
      <c r="AK3" s="155" t="s">
        <v>151</v>
      </c>
      <c r="AL3" s="155" t="s">
        <v>152</v>
      </c>
      <c r="AM3" s="155" t="s">
        <v>153</v>
      </c>
      <c r="AN3" s="70" t="s">
        <v>154</v>
      </c>
      <c r="AO3" s="70" t="s">
        <v>155</v>
      </c>
      <c r="AP3" s="70" t="s">
        <v>156</v>
      </c>
      <c r="AQ3" s="70" t="s">
        <v>163</v>
      </c>
      <c r="AR3" s="70" t="s">
        <v>164</v>
      </c>
      <c r="AS3" s="253" t="s">
        <v>167</v>
      </c>
    </row>
    <row r="4" spans="1:45" ht="24.9" customHeight="1">
      <c r="A4" s="2"/>
      <c r="B4" s="73"/>
      <c r="C4" s="244"/>
      <c r="D4" s="244"/>
      <c r="E4" s="244"/>
      <c r="F4" s="244"/>
      <c r="G4" s="244"/>
      <c r="H4" s="244"/>
      <c r="I4" s="78"/>
      <c r="J4" s="74"/>
      <c r="K4" s="75"/>
      <c r="L4" s="76"/>
      <c r="M4" s="53"/>
      <c r="N4" s="41"/>
      <c r="O4" s="41"/>
      <c r="P4" s="41"/>
      <c r="Q4" s="41"/>
      <c r="R4" s="74"/>
      <c r="S4" s="41"/>
      <c r="T4" s="41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215"/>
    </row>
    <row r="5" spans="1:45" ht="20.100000000000001" customHeight="1">
      <c r="A5" s="2"/>
      <c r="B5" s="77" t="s">
        <v>2</v>
      </c>
      <c r="C5" s="78">
        <v>4424895</v>
      </c>
      <c r="D5" s="78">
        <v>4112497</v>
      </c>
      <c r="E5" s="78">
        <v>3653384</v>
      </c>
      <c r="F5" s="78">
        <v>2834701</v>
      </c>
      <c r="G5" s="78">
        <v>2262018</v>
      </c>
      <c r="H5" s="78">
        <v>1670441</v>
      </c>
      <c r="I5" s="78">
        <v>1479373</v>
      </c>
      <c r="J5" s="78">
        <v>1154993</v>
      </c>
      <c r="K5" s="78">
        <v>914858</v>
      </c>
      <c r="L5" s="79">
        <v>705385</v>
      </c>
      <c r="M5" s="78">
        <v>253930</v>
      </c>
      <c r="N5" s="78">
        <v>303420</v>
      </c>
      <c r="O5" s="78">
        <v>303697</v>
      </c>
      <c r="P5" s="78">
        <f>IFERROR(J5-SUM(M5:O5),0)</f>
        <v>293946</v>
      </c>
      <c r="Q5" s="78">
        <v>326681</v>
      </c>
      <c r="R5" s="78">
        <v>392893</v>
      </c>
      <c r="S5" s="78">
        <v>391519</v>
      </c>
      <c r="T5" s="78">
        <f>IFERROR(I5-SUM(Q5:S5),0)</f>
        <v>368280</v>
      </c>
      <c r="U5" s="78">
        <v>371103</v>
      </c>
      <c r="V5" s="78">
        <v>396670</v>
      </c>
      <c r="W5" s="78">
        <v>469530</v>
      </c>
      <c r="X5" s="78">
        <f>IFERROR(H5-SUM(U5:W5),0)</f>
        <v>433138</v>
      </c>
      <c r="Y5" s="78">
        <v>475689</v>
      </c>
      <c r="Z5" s="78">
        <v>587223</v>
      </c>
      <c r="AA5" s="78">
        <v>611621</v>
      </c>
      <c r="AB5" s="78">
        <f>IFERROR(G5-SUM(Y5:AA5),0)</f>
        <v>587485</v>
      </c>
      <c r="AC5" s="78">
        <v>639571</v>
      </c>
      <c r="AD5" s="78">
        <v>706948</v>
      </c>
      <c r="AE5" s="78">
        <v>751215</v>
      </c>
      <c r="AF5" s="78">
        <f>IFERROR(F5-SUM(AC5:AE5),0)</f>
        <v>736967</v>
      </c>
      <c r="AG5" s="78">
        <v>836645</v>
      </c>
      <c r="AH5" s="78">
        <v>938540</v>
      </c>
      <c r="AI5" s="78">
        <v>956274</v>
      </c>
      <c r="AJ5" s="78">
        <f>IFERROR(E5-SUM(AG5:AI5),0)</f>
        <v>921925</v>
      </c>
      <c r="AK5" s="78">
        <v>994751</v>
      </c>
      <c r="AL5" s="78">
        <v>1062091</v>
      </c>
      <c r="AM5" s="78">
        <v>1060829</v>
      </c>
      <c r="AN5" s="78">
        <f>IFERROR(D5-SUM(AK5:AM5),0)</f>
        <v>994826</v>
      </c>
      <c r="AO5" s="78">
        <v>1073292</v>
      </c>
      <c r="AP5" s="78">
        <v>1141214</v>
      </c>
      <c r="AQ5" s="78">
        <v>1136474</v>
      </c>
      <c r="AR5" s="277">
        <f>IFERROR(C5-SUM(AO5:AQ5),0)</f>
        <v>1073915</v>
      </c>
      <c r="AS5" s="79">
        <v>1170033</v>
      </c>
    </row>
    <row r="6" spans="1:45" ht="20.100000000000001" customHeight="1">
      <c r="A6" s="3"/>
      <c r="B6" s="77" t="s">
        <v>3</v>
      </c>
      <c r="C6" s="78">
        <v>-3249797</v>
      </c>
      <c r="D6" s="78">
        <v>-2985276</v>
      </c>
      <c r="E6" s="78">
        <v>-2663505</v>
      </c>
      <c r="F6" s="78">
        <v>-1987689</v>
      </c>
      <c r="G6" s="78">
        <v>-1604404</v>
      </c>
      <c r="H6" s="78">
        <v>-1193562</v>
      </c>
      <c r="I6" s="78">
        <v>-1092473</v>
      </c>
      <c r="J6" s="78">
        <v>-847970</v>
      </c>
      <c r="K6" s="78">
        <v>-673172</v>
      </c>
      <c r="L6" s="79">
        <v>-524074</v>
      </c>
      <c r="M6" s="78">
        <v>-186574</v>
      </c>
      <c r="N6" s="78">
        <v>-224659</v>
      </c>
      <c r="O6" s="78">
        <v>-222172</v>
      </c>
      <c r="P6" s="78">
        <f>IFERROR(J6-SUM(M6:O6),0)</f>
        <v>-214565</v>
      </c>
      <c r="Q6" s="78">
        <v>-239830</v>
      </c>
      <c r="R6" s="78">
        <v>-296603</v>
      </c>
      <c r="S6" s="78">
        <v>-289597</v>
      </c>
      <c r="T6" s="78">
        <f>IFERROR(I6-SUM(Q6:S6),0)</f>
        <v>-266443</v>
      </c>
      <c r="U6" s="78">
        <v>-273807</v>
      </c>
      <c r="V6" s="78">
        <v>-276563</v>
      </c>
      <c r="W6" s="78">
        <v>-337767</v>
      </c>
      <c r="X6" s="78">
        <f>IFERROR(H6-SUM(U6:W6),0)</f>
        <v>-305425</v>
      </c>
      <c r="Y6" s="78">
        <v>-344264</v>
      </c>
      <c r="Z6" s="78">
        <v>-414922</v>
      </c>
      <c r="AA6" s="78">
        <v>-438006</v>
      </c>
      <c r="AB6" s="78">
        <f>IFERROR(G6-SUM(Y6:AA6),0)</f>
        <v>-407212</v>
      </c>
      <c r="AC6" s="78">
        <v>-450401</v>
      </c>
      <c r="AD6" s="78">
        <v>-492690</v>
      </c>
      <c r="AE6" s="78">
        <v>-531817</v>
      </c>
      <c r="AF6" s="78">
        <f>IFERROR(F6-SUM(AC6:AE6),0)</f>
        <v>-512781</v>
      </c>
      <c r="AG6" s="78">
        <v>-615871</v>
      </c>
      <c r="AH6" s="78">
        <v>-686140</v>
      </c>
      <c r="AI6" s="78">
        <v>-685177</v>
      </c>
      <c r="AJ6" s="78">
        <f>IFERROR(E6-SUM(AG6:AI6),0)</f>
        <v>-676317</v>
      </c>
      <c r="AK6" s="78">
        <v>-733859</v>
      </c>
      <c r="AL6" s="78">
        <v>-765820</v>
      </c>
      <c r="AM6" s="78">
        <v>-777921</v>
      </c>
      <c r="AN6" s="78">
        <f>IFERROR(D6-SUM(AK6:AM6),0)</f>
        <v>-707676</v>
      </c>
      <c r="AO6" s="78">
        <v>-800654</v>
      </c>
      <c r="AP6" s="78">
        <v>-835030</v>
      </c>
      <c r="AQ6" s="78">
        <v>-842451</v>
      </c>
      <c r="AR6" s="277">
        <f>IFERROR(C6-SUM(AO6:AQ6),0)</f>
        <v>-771662</v>
      </c>
      <c r="AS6" s="79">
        <v>-845160</v>
      </c>
    </row>
    <row r="7" spans="1:45" ht="20.100000000000001" customHeight="1">
      <c r="A7" s="2"/>
      <c r="B7" s="80" t="s">
        <v>30</v>
      </c>
      <c r="C7" s="44">
        <f t="shared" ref="C7:K7" si="0">SUM(C5:C6)</f>
        <v>1175098</v>
      </c>
      <c r="D7" s="44">
        <f t="shared" si="0"/>
        <v>1127221</v>
      </c>
      <c r="E7" s="44">
        <f t="shared" si="0"/>
        <v>989879</v>
      </c>
      <c r="F7" s="44">
        <f t="shared" si="0"/>
        <v>847012</v>
      </c>
      <c r="G7" s="44">
        <f t="shared" si="0"/>
        <v>657614</v>
      </c>
      <c r="H7" s="44">
        <f t="shared" si="0"/>
        <v>476879</v>
      </c>
      <c r="I7" s="44">
        <f t="shared" si="0"/>
        <v>386900</v>
      </c>
      <c r="J7" s="44">
        <f t="shared" si="0"/>
        <v>307023</v>
      </c>
      <c r="K7" s="44">
        <f t="shared" si="0"/>
        <v>241686</v>
      </c>
      <c r="L7" s="81">
        <v>181311</v>
      </c>
      <c r="M7" s="44">
        <f>SUM(M5:M6)</f>
        <v>67356</v>
      </c>
      <c r="N7" s="44">
        <f t="shared" ref="N7:U7" si="1">SUM(N5:N6)</f>
        <v>78761</v>
      </c>
      <c r="O7" s="44">
        <f t="shared" si="1"/>
        <v>81525</v>
      </c>
      <c r="P7" s="44">
        <f t="shared" si="1"/>
        <v>79381</v>
      </c>
      <c r="Q7" s="44">
        <f t="shared" si="1"/>
        <v>86851</v>
      </c>
      <c r="R7" s="44">
        <f t="shared" si="1"/>
        <v>96290</v>
      </c>
      <c r="S7" s="44">
        <f t="shared" si="1"/>
        <v>101922</v>
      </c>
      <c r="T7" s="44">
        <f t="shared" si="1"/>
        <v>101837</v>
      </c>
      <c r="U7" s="44">
        <f t="shared" si="1"/>
        <v>97296</v>
      </c>
      <c r="V7" s="44">
        <f t="shared" ref="V7:X7" si="2">SUM(V5:V6)</f>
        <v>120107</v>
      </c>
      <c r="W7" s="44">
        <f t="shared" si="2"/>
        <v>131763</v>
      </c>
      <c r="X7" s="44">
        <f t="shared" si="2"/>
        <v>127713</v>
      </c>
      <c r="Y7" s="44">
        <f t="shared" ref="Y7:Z7" si="3">SUM(Y5:Y6)</f>
        <v>131425</v>
      </c>
      <c r="Z7" s="44">
        <f t="shared" si="3"/>
        <v>172301</v>
      </c>
      <c r="AA7" s="44">
        <f t="shared" ref="AA7:AB7" si="4">SUM(AA5:AA6)</f>
        <v>173615</v>
      </c>
      <c r="AB7" s="44">
        <f t="shared" si="4"/>
        <v>180273</v>
      </c>
      <c r="AC7" s="44">
        <f t="shared" ref="AC7:AD7" si="5">SUM(AC5:AC6)</f>
        <v>189170</v>
      </c>
      <c r="AD7" s="44">
        <f t="shared" si="5"/>
        <v>214258</v>
      </c>
      <c r="AE7" s="44">
        <f t="shared" ref="AE7" si="6">SUM(AE5:AE6)</f>
        <v>219398</v>
      </c>
      <c r="AF7" s="44">
        <f t="shared" ref="AF7:AL7" si="7">SUM(AF5:AF6)</f>
        <v>224186</v>
      </c>
      <c r="AG7" s="44">
        <f t="shared" si="7"/>
        <v>220774</v>
      </c>
      <c r="AH7" s="44">
        <f t="shared" si="7"/>
        <v>252400</v>
      </c>
      <c r="AI7" s="44">
        <f t="shared" si="7"/>
        <v>271097</v>
      </c>
      <c r="AJ7" s="44">
        <f t="shared" si="7"/>
        <v>245608</v>
      </c>
      <c r="AK7" s="44">
        <f t="shared" si="7"/>
        <v>260892</v>
      </c>
      <c r="AL7" s="44">
        <f t="shared" si="7"/>
        <v>296271</v>
      </c>
      <c r="AM7" s="44">
        <f t="shared" ref="AM7" si="8">SUM(AM5:AM6)</f>
        <v>282908</v>
      </c>
      <c r="AN7" s="44">
        <f>SUM(AN5:AN6)</f>
        <v>287150</v>
      </c>
      <c r="AO7" s="44">
        <f>SUM(AO5:AO6)</f>
        <v>272638</v>
      </c>
      <c r="AP7" s="44">
        <f>SUM(AP5:AP6)</f>
        <v>306184</v>
      </c>
      <c r="AQ7" s="44">
        <f>SUM(AQ5:AQ6)</f>
        <v>294023</v>
      </c>
      <c r="AR7" s="44">
        <f>SUM(AR5:AR6)</f>
        <v>302253</v>
      </c>
      <c r="AS7" s="81">
        <f>SUM(AS5:AS6)</f>
        <v>324873</v>
      </c>
    </row>
    <row r="8" spans="1:45" ht="20.100000000000001" customHeight="1">
      <c r="A8" s="2"/>
      <c r="B8" s="77"/>
      <c r="C8" s="188"/>
      <c r="D8" s="188"/>
      <c r="E8" s="188"/>
      <c r="F8" s="188"/>
      <c r="G8" s="188"/>
      <c r="H8" s="188"/>
      <c r="I8" s="188"/>
      <c r="J8" s="82"/>
      <c r="K8" s="82"/>
      <c r="L8" s="79"/>
      <c r="M8" s="56"/>
      <c r="N8" s="12"/>
      <c r="O8" s="12"/>
      <c r="P8" s="26"/>
      <c r="Q8" s="26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278"/>
      <c r="AS8" s="57"/>
    </row>
    <row r="9" spans="1:45" ht="20.100000000000001" customHeight="1">
      <c r="A9" s="2"/>
      <c r="B9" s="77" t="s">
        <v>31</v>
      </c>
      <c r="C9" s="78">
        <v>-498815</v>
      </c>
      <c r="D9" s="78">
        <v>-472542</v>
      </c>
      <c r="E9" s="78">
        <v>-402825</v>
      </c>
      <c r="F9" s="78">
        <v>-332198</v>
      </c>
      <c r="G9" s="78">
        <v>-244304</v>
      </c>
      <c r="H9" s="78">
        <v>-185339</v>
      </c>
      <c r="I9" s="78">
        <v>-172587</v>
      </c>
      <c r="J9" s="78">
        <v>-132712</v>
      </c>
      <c r="K9" s="78">
        <v>-113086</v>
      </c>
      <c r="L9" s="79">
        <v>-85706</v>
      </c>
      <c r="M9" s="78">
        <v>-29722</v>
      </c>
      <c r="N9" s="78">
        <v>-33074</v>
      </c>
      <c r="O9" s="78">
        <v>-35373</v>
      </c>
      <c r="P9" s="78">
        <f t="shared" ref="P9:P14" si="9">IFERROR(J9-SUM(M9:O9),0)</f>
        <v>-34543</v>
      </c>
      <c r="Q9" s="78">
        <v>-37057</v>
      </c>
      <c r="R9" s="78">
        <v>-42825</v>
      </c>
      <c r="S9" s="78">
        <v>-45964</v>
      </c>
      <c r="T9" s="78">
        <f t="shared" ref="T9:T14" si="10">IFERROR(I9-SUM(Q9:S9),0)</f>
        <v>-46741</v>
      </c>
      <c r="U9" s="78">
        <v>-44787</v>
      </c>
      <c r="V9" s="78">
        <v>-42779</v>
      </c>
      <c r="W9" s="78">
        <v>-49488</v>
      </c>
      <c r="X9" s="78">
        <f t="shared" ref="X9:X14" si="11">IFERROR(H9-SUM(U9:W9),0)</f>
        <v>-48285</v>
      </c>
      <c r="Y9" s="78">
        <v>-49105</v>
      </c>
      <c r="Z9" s="78">
        <v>-59794</v>
      </c>
      <c r="AA9" s="78">
        <v>-65574</v>
      </c>
      <c r="AB9" s="78">
        <f t="shared" ref="AB9:AB14" si="12">IFERROR(G9-SUM(Y9:AA9),0)</f>
        <v>-69831</v>
      </c>
      <c r="AC9" s="78">
        <v>-71707</v>
      </c>
      <c r="AD9" s="78">
        <v>-84307</v>
      </c>
      <c r="AE9" s="78">
        <v>-90511</v>
      </c>
      <c r="AF9" s="78">
        <f t="shared" ref="AF9:AF14" si="13">IFERROR(F9-SUM(AC9:AE9),0)</f>
        <v>-85673</v>
      </c>
      <c r="AG9" s="78">
        <v>-96064</v>
      </c>
      <c r="AH9" s="78">
        <v>-98964</v>
      </c>
      <c r="AI9" s="78">
        <v>-104548</v>
      </c>
      <c r="AJ9" s="78">
        <f t="shared" ref="AJ9:AJ14" si="14">IFERROR(E9-SUM(AG9:AI9),0)</f>
        <v>-103249</v>
      </c>
      <c r="AK9" s="78">
        <v>-114651</v>
      </c>
      <c r="AL9" s="78">
        <v>-123620</v>
      </c>
      <c r="AM9" s="78">
        <v>-120063</v>
      </c>
      <c r="AN9" s="78">
        <f t="shared" ref="AN9:AN14" si="15">IFERROR(D9-SUM(AK9:AM9),0)</f>
        <v>-114208</v>
      </c>
      <c r="AO9" s="78">
        <v>-117714</v>
      </c>
      <c r="AP9" s="78">
        <v>-126890</v>
      </c>
      <c r="AQ9" s="78">
        <v>-128176</v>
      </c>
      <c r="AR9" s="277">
        <f t="shared" ref="AR9:AS14" si="16">IFERROR(C9-SUM(AO9:AQ9),0)</f>
        <v>-126035</v>
      </c>
      <c r="AS9" s="79">
        <v>-133386</v>
      </c>
    </row>
    <row r="10" spans="1:45" ht="20.100000000000001" customHeight="1">
      <c r="A10" s="3"/>
      <c r="B10" s="83" t="s">
        <v>32</v>
      </c>
      <c r="C10" s="78">
        <v>-332399</v>
      </c>
      <c r="D10" s="78">
        <v>-305643</v>
      </c>
      <c r="E10" s="78">
        <v>-242333</v>
      </c>
      <c r="F10" s="78">
        <v>-180344</v>
      </c>
      <c r="G10" s="78">
        <v>-137366</v>
      </c>
      <c r="H10" s="78">
        <v>-110223</v>
      </c>
      <c r="I10" s="78">
        <v>-101429</v>
      </c>
      <c r="J10" s="78">
        <v>-73157</v>
      </c>
      <c r="K10" s="78">
        <v>-57602</v>
      </c>
      <c r="L10" s="79">
        <v>-40291</v>
      </c>
      <c r="M10" s="78">
        <v>-15689</v>
      </c>
      <c r="N10" s="78">
        <v>-17963</v>
      </c>
      <c r="O10" s="78">
        <v>-18846</v>
      </c>
      <c r="P10" s="78">
        <f t="shared" si="9"/>
        <v>-20659</v>
      </c>
      <c r="Q10" s="78">
        <v>-23104</v>
      </c>
      <c r="R10" s="78">
        <v>-26053</v>
      </c>
      <c r="S10" s="78">
        <v>-26891</v>
      </c>
      <c r="T10" s="78">
        <f t="shared" si="10"/>
        <v>-25381</v>
      </c>
      <c r="U10" s="78">
        <v>-26657</v>
      </c>
      <c r="V10" s="78">
        <v>-25724</v>
      </c>
      <c r="W10" s="78">
        <v>-28443</v>
      </c>
      <c r="X10" s="78">
        <f t="shared" si="11"/>
        <v>-29399</v>
      </c>
      <c r="Y10" s="78">
        <v>-27331</v>
      </c>
      <c r="Z10" s="78">
        <v>-34274</v>
      </c>
      <c r="AA10" s="78">
        <v>-36519</v>
      </c>
      <c r="AB10" s="78">
        <f t="shared" si="12"/>
        <v>-39242</v>
      </c>
      <c r="AC10" s="78">
        <v>-43756</v>
      </c>
      <c r="AD10" s="78">
        <v>-44800</v>
      </c>
      <c r="AE10" s="78">
        <v>-43207</v>
      </c>
      <c r="AF10" s="78">
        <f t="shared" si="13"/>
        <v>-48581</v>
      </c>
      <c r="AG10" s="78">
        <v>-55556</v>
      </c>
      <c r="AH10" s="78">
        <v>-58616</v>
      </c>
      <c r="AI10" s="78">
        <v>-59794</v>
      </c>
      <c r="AJ10" s="78">
        <f t="shared" si="14"/>
        <v>-68367</v>
      </c>
      <c r="AK10" s="78">
        <v>-74643</v>
      </c>
      <c r="AL10" s="78">
        <v>-79199</v>
      </c>
      <c r="AM10" s="78">
        <v>-77269</v>
      </c>
      <c r="AN10" s="78">
        <f t="shared" si="15"/>
        <v>-74532</v>
      </c>
      <c r="AO10" s="78">
        <v>-82084</v>
      </c>
      <c r="AP10" s="78">
        <v>-83256</v>
      </c>
      <c r="AQ10" s="78">
        <v>-80990</v>
      </c>
      <c r="AR10" s="277">
        <f t="shared" si="16"/>
        <v>-86069</v>
      </c>
      <c r="AS10" s="79">
        <v>-86628</v>
      </c>
    </row>
    <row r="11" spans="1:45" ht="20.100000000000001" customHeight="1">
      <c r="A11" s="2"/>
      <c r="B11" s="83" t="s">
        <v>33</v>
      </c>
      <c r="C11" s="78">
        <v>-57958</v>
      </c>
      <c r="D11" s="78">
        <v>-53177</v>
      </c>
      <c r="E11" s="78">
        <v>-47185</v>
      </c>
      <c r="F11" s="78">
        <v>-50096</v>
      </c>
      <c r="G11" s="78">
        <v>-30778</v>
      </c>
      <c r="H11" s="78">
        <v>-29313</v>
      </c>
      <c r="I11" s="78">
        <v>-25060</v>
      </c>
      <c r="J11" s="52">
        <v>-18205</v>
      </c>
      <c r="K11" s="52">
        <v>-14188</v>
      </c>
      <c r="L11" s="84">
        <v>-9919</v>
      </c>
      <c r="M11" s="78">
        <v>-4324</v>
      </c>
      <c r="N11" s="78">
        <v>-4230</v>
      </c>
      <c r="O11" s="78">
        <v>-4345</v>
      </c>
      <c r="P11" s="78">
        <f t="shared" si="9"/>
        <v>-5306</v>
      </c>
      <c r="Q11" s="78">
        <v>-5653</v>
      </c>
      <c r="R11" s="78">
        <v>-6303</v>
      </c>
      <c r="S11" s="78">
        <v>-6081</v>
      </c>
      <c r="T11" s="78">
        <f t="shared" si="10"/>
        <v>-7023</v>
      </c>
      <c r="U11" s="78">
        <v>-6438</v>
      </c>
      <c r="V11" s="78">
        <v>-7860</v>
      </c>
      <c r="W11" s="78">
        <v>-7556</v>
      </c>
      <c r="X11" s="78">
        <f t="shared" si="11"/>
        <v>-7459</v>
      </c>
      <c r="Y11" s="78">
        <v>-5919</v>
      </c>
      <c r="Z11" s="78">
        <v>-8412</v>
      </c>
      <c r="AA11" s="78">
        <v>-6796</v>
      </c>
      <c r="AB11" s="78">
        <f t="shared" si="12"/>
        <v>-9651</v>
      </c>
      <c r="AC11" s="78">
        <v>-8320</v>
      </c>
      <c r="AD11" s="78">
        <v>-14512</v>
      </c>
      <c r="AE11" s="78">
        <v>-13176</v>
      </c>
      <c r="AF11" s="78">
        <f t="shared" si="13"/>
        <v>-14088</v>
      </c>
      <c r="AG11" s="78">
        <v>-10979</v>
      </c>
      <c r="AH11" s="78">
        <v>-11562</v>
      </c>
      <c r="AI11" s="78">
        <v>-11957</v>
      </c>
      <c r="AJ11" s="78">
        <f t="shared" si="14"/>
        <v>-12687</v>
      </c>
      <c r="AK11" s="78">
        <v>-13050</v>
      </c>
      <c r="AL11" s="78">
        <v>-13814</v>
      </c>
      <c r="AM11" s="78">
        <v>-12997</v>
      </c>
      <c r="AN11" s="78">
        <f t="shared" si="15"/>
        <v>-13316</v>
      </c>
      <c r="AO11" s="78">
        <v>-13845</v>
      </c>
      <c r="AP11" s="78">
        <v>-14109</v>
      </c>
      <c r="AQ11" s="78">
        <v>-13824</v>
      </c>
      <c r="AR11" s="277">
        <f t="shared" si="16"/>
        <v>-16180</v>
      </c>
      <c r="AS11" s="79">
        <v>-14698</v>
      </c>
    </row>
    <row r="12" spans="1:45" ht="20.100000000000001" customHeight="1">
      <c r="A12" s="2"/>
      <c r="B12" s="83" t="s">
        <v>34</v>
      </c>
      <c r="C12" s="78">
        <v>-4332</v>
      </c>
      <c r="D12" s="78">
        <v>-4570</v>
      </c>
      <c r="E12" s="78">
        <v>5194</v>
      </c>
      <c r="F12" s="78">
        <v>-2478</v>
      </c>
      <c r="G12" s="78">
        <v>-2199</v>
      </c>
      <c r="H12" s="78">
        <v>-1624</v>
      </c>
      <c r="I12" s="78">
        <v>-3636</v>
      </c>
      <c r="J12" s="52">
        <v>-2072</v>
      </c>
      <c r="K12" s="52">
        <v>-1259</v>
      </c>
      <c r="L12" s="84">
        <v>-940</v>
      </c>
      <c r="M12" s="78">
        <v>1312</v>
      </c>
      <c r="N12" s="78">
        <v>-1717</v>
      </c>
      <c r="O12" s="78">
        <v>-1305</v>
      </c>
      <c r="P12" s="78">
        <f t="shared" si="9"/>
        <v>-362</v>
      </c>
      <c r="Q12" s="78">
        <v>368</v>
      </c>
      <c r="R12" s="78">
        <v>-1808</v>
      </c>
      <c r="S12" s="78">
        <v>-621</v>
      </c>
      <c r="T12" s="78">
        <f t="shared" si="10"/>
        <v>-1575</v>
      </c>
      <c r="U12" s="78">
        <v>-341</v>
      </c>
      <c r="V12" s="78">
        <v>-804</v>
      </c>
      <c r="W12" s="78">
        <v>485</v>
      </c>
      <c r="X12" s="78">
        <f t="shared" si="11"/>
        <v>-964</v>
      </c>
      <c r="Y12" s="78">
        <v>-536</v>
      </c>
      <c r="Z12" s="78">
        <v>522</v>
      </c>
      <c r="AA12" s="78">
        <v>1344</v>
      </c>
      <c r="AB12" s="78">
        <f>IFERROR(G12-SUM(Y12:AA12),0)</f>
        <v>-3529</v>
      </c>
      <c r="AC12" s="78">
        <v>1364</v>
      </c>
      <c r="AD12" s="78">
        <v>-477</v>
      </c>
      <c r="AE12" s="78">
        <v>3031</v>
      </c>
      <c r="AF12" s="78">
        <f t="shared" si="13"/>
        <v>-6396</v>
      </c>
      <c r="AG12" s="78">
        <v>3983</v>
      </c>
      <c r="AH12" s="78">
        <v>1180</v>
      </c>
      <c r="AI12" s="78">
        <v>-3469</v>
      </c>
      <c r="AJ12" s="78">
        <f t="shared" si="14"/>
        <v>3500</v>
      </c>
      <c r="AK12" s="78">
        <v>-1836</v>
      </c>
      <c r="AL12" s="78">
        <v>-664</v>
      </c>
      <c r="AM12" s="78">
        <v>764</v>
      </c>
      <c r="AN12" s="78">
        <f t="shared" si="15"/>
        <v>-2834</v>
      </c>
      <c r="AO12" s="78">
        <v>-1921</v>
      </c>
      <c r="AP12" s="78">
        <v>235</v>
      </c>
      <c r="AQ12" s="78">
        <v>-730</v>
      </c>
      <c r="AR12" s="277">
        <f t="shared" si="16"/>
        <v>-1916</v>
      </c>
      <c r="AS12" s="79">
        <v>-1026</v>
      </c>
    </row>
    <row r="13" spans="1:45" ht="20.100000000000001" customHeight="1">
      <c r="A13" s="3"/>
      <c r="B13" s="83" t="s">
        <v>4</v>
      </c>
      <c r="C13" s="78">
        <v>1289</v>
      </c>
      <c r="D13" s="78">
        <v>4377</v>
      </c>
      <c r="E13" s="78">
        <v>1000</v>
      </c>
      <c r="F13" s="78">
        <v>740</v>
      </c>
      <c r="G13" s="78">
        <v>413</v>
      </c>
      <c r="H13" s="78">
        <v>624</v>
      </c>
      <c r="I13" s="78">
        <v>337</v>
      </c>
      <c r="J13" s="52">
        <v>374</v>
      </c>
      <c r="K13" s="52">
        <v>327</v>
      </c>
      <c r="L13" s="84">
        <v>430</v>
      </c>
      <c r="M13" s="78">
        <v>82</v>
      </c>
      <c r="N13" s="78">
        <v>70</v>
      </c>
      <c r="O13" s="78">
        <v>61</v>
      </c>
      <c r="P13" s="78">
        <f t="shared" si="9"/>
        <v>161</v>
      </c>
      <c r="Q13" s="78">
        <v>106</v>
      </c>
      <c r="R13" s="78">
        <v>35</v>
      </c>
      <c r="S13" s="78">
        <v>63</v>
      </c>
      <c r="T13" s="78">
        <f t="shared" si="10"/>
        <v>133</v>
      </c>
      <c r="U13" s="78">
        <v>37</v>
      </c>
      <c r="V13" s="78">
        <v>48</v>
      </c>
      <c r="W13" s="78">
        <v>92</v>
      </c>
      <c r="X13" s="78">
        <f t="shared" si="11"/>
        <v>447</v>
      </c>
      <c r="Y13" s="78">
        <v>108</v>
      </c>
      <c r="Z13" s="78">
        <v>96</v>
      </c>
      <c r="AA13" s="78">
        <v>101</v>
      </c>
      <c r="AB13" s="78">
        <f t="shared" si="12"/>
        <v>108</v>
      </c>
      <c r="AC13" s="78">
        <v>99</v>
      </c>
      <c r="AD13" s="78">
        <v>123</v>
      </c>
      <c r="AE13" s="78">
        <v>391</v>
      </c>
      <c r="AF13" s="78">
        <f t="shared" si="13"/>
        <v>127</v>
      </c>
      <c r="AG13" s="78">
        <v>35</v>
      </c>
      <c r="AH13" s="78">
        <v>69</v>
      </c>
      <c r="AI13" s="78">
        <v>36</v>
      </c>
      <c r="AJ13" s="78">
        <f t="shared" si="14"/>
        <v>860</v>
      </c>
      <c r="AK13" s="78">
        <v>180</v>
      </c>
      <c r="AL13" s="78">
        <v>177</v>
      </c>
      <c r="AM13" s="78">
        <v>297</v>
      </c>
      <c r="AN13" s="78">
        <f t="shared" si="15"/>
        <v>3723</v>
      </c>
      <c r="AO13" s="78">
        <v>325</v>
      </c>
      <c r="AP13" s="78">
        <v>357</v>
      </c>
      <c r="AQ13" s="78">
        <v>1006</v>
      </c>
      <c r="AR13" s="277">
        <f t="shared" si="16"/>
        <v>-399</v>
      </c>
      <c r="AS13" s="79">
        <v>265</v>
      </c>
    </row>
    <row r="14" spans="1:45" ht="20.100000000000001" customHeight="1">
      <c r="A14" s="2"/>
      <c r="B14" s="83" t="s">
        <v>5</v>
      </c>
      <c r="C14" s="78">
        <v>-2537</v>
      </c>
      <c r="D14" s="78">
        <v>-6394</v>
      </c>
      <c r="E14" s="78">
        <v>-1006</v>
      </c>
      <c r="F14" s="78">
        <v>-1267</v>
      </c>
      <c r="G14" s="78">
        <v>-4370</v>
      </c>
      <c r="H14" s="78">
        <v>-722</v>
      </c>
      <c r="I14" s="78">
        <v>-750</v>
      </c>
      <c r="J14" s="52">
        <f>-278-1</f>
        <v>-279</v>
      </c>
      <c r="K14" s="52">
        <v>-609</v>
      </c>
      <c r="L14" s="84">
        <v>-781</v>
      </c>
      <c r="M14" s="78">
        <v>-27</v>
      </c>
      <c r="N14" s="78">
        <v>-107</v>
      </c>
      <c r="O14" s="78">
        <v>-74</v>
      </c>
      <c r="P14" s="78">
        <f t="shared" si="9"/>
        <v>-71</v>
      </c>
      <c r="Q14" s="78">
        <v>-63</v>
      </c>
      <c r="R14" s="78">
        <v>-137</v>
      </c>
      <c r="S14" s="78">
        <v>-238</v>
      </c>
      <c r="T14" s="78">
        <f t="shared" si="10"/>
        <v>-312</v>
      </c>
      <c r="U14" s="78">
        <v>-109</v>
      </c>
      <c r="V14" s="78">
        <v>-110</v>
      </c>
      <c r="W14" s="78">
        <v>-66</v>
      </c>
      <c r="X14" s="78">
        <f t="shared" si="11"/>
        <v>-437</v>
      </c>
      <c r="Y14" s="78">
        <v>-79</v>
      </c>
      <c r="Z14" s="78">
        <v>-1046</v>
      </c>
      <c r="AA14" s="78">
        <v>-103</v>
      </c>
      <c r="AB14" s="78">
        <f t="shared" si="12"/>
        <v>-3142</v>
      </c>
      <c r="AC14" s="78">
        <v>-250</v>
      </c>
      <c r="AD14" s="78">
        <v>-347</v>
      </c>
      <c r="AE14" s="78">
        <v>-304</v>
      </c>
      <c r="AF14" s="78">
        <f t="shared" si="13"/>
        <v>-366</v>
      </c>
      <c r="AG14" s="78">
        <v>-195</v>
      </c>
      <c r="AH14" s="78">
        <v>-398</v>
      </c>
      <c r="AI14" s="78">
        <v>-474</v>
      </c>
      <c r="AJ14" s="78">
        <f t="shared" si="14"/>
        <v>61</v>
      </c>
      <c r="AK14" s="78">
        <v>-804</v>
      </c>
      <c r="AL14" s="78">
        <v>-736</v>
      </c>
      <c r="AM14" s="78">
        <v>-2392</v>
      </c>
      <c r="AN14" s="78">
        <f t="shared" si="15"/>
        <v>-2462</v>
      </c>
      <c r="AO14" s="78">
        <v>-897</v>
      </c>
      <c r="AP14" s="78">
        <v>-719</v>
      </c>
      <c r="AQ14" s="78">
        <v>-488</v>
      </c>
      <c r="AR14" s="277">
        <f t="shared" si="16"/>
        <v>-433</v>
      </c>
      <c r="AS14" s="79">
        <v>-1273</v>
      </c>
    </row>
    <row r="15" spans="1:45" ht="20.100000000000001" customHeight="1">
      <c r="A15" s="3"/>
      <c r="B15" s="85" t="s">
        <v>35</v>
      </c>
      <c r="C15" s="45">
        <f t="shared" ref="C15:K15" si="17">C7+SUM(C9:C14)</f>
        <v>280346</v>
      </c>
      <c r="D15" s="45">
        <f t="shared" si="17"/>
        <v>289272</v>
      </c>
      <c r="E15" s="45">
        <f t="shared" si="17"/>
        <v>302724</v>
      </c>
      <c r="F15" s="45">
        <f t="shared" si="17"/>
        <v>281369</v>
      </c>
      <c r="G15" s="45">
        <f t="shared" si="17"/>
        <v>239010</v>
      </c>
      <c r="H15" s="45">
        <f t="shared" si="17"/>
        <v>150282</v>
      </c>
      <c r="I15" s="45">
        <f t="shared" si="17"/>
        <v>83775</v>
      </c>
      <c r="J15" s="45">
        <f t="shared" si="17"/>
        <v>80972</v>
      </c>
      <c r="K15" s="45">
        <f t="shared" si="17"/>
        <v>55269</v>
      </c>
      <c r="L15" s="86">
        <v>44104</v>
      </c>
      <c r="M15" s="45">
        <f>M7+SUM(M9:M14)</f>
        <v>18988</v>
      </c>
      <c r="N15" s="45">
        <f t="shared" ref="N15:U15" si="18">N7+SUM(N9:N14)</f>
        <v>21740</v>
      </c>
      <c r="O15" s="45">
        <f t="shared" si="18"/>
        <v>21643</v>
      </c>
      <c r="P15" s="45">
        <f t="shared" si="18"/>
        <v>18601</v>
      </c>
      <c r="Q15" s="45">
        <f t="shared" si="18"/>
        <v>21448</v>
      </c>
      <c r="R15" s="45">
        <f t="shared" si="18"/>
        <v>19199</v>
      </c>
      <c r="S15" s="45">
        <f t="shared" si="18"/>
        <v>22190</v>
      </c>
      <c r="T15" s="45">
        <f t="shared" si="18"/>
        <v>20938</v>
      </c>
      <c r="U15" s="45">
        <f t="shared" si="18"/>
        <v>19001</v>
      </c>
      <c r="V15" s="45">
        <f t="shared" ref="V15:X15" si="19">V7+SUM(V9:V14)</f>
        <v>42878</v>
      </c>
      <c r="W15" s="45">
        <f t="shared" si="19"/>
        <v>46787</v>
      </c>
      <c r="X15" s="45">
        <f t="shared" si="19"/>
        <v>41616</v>
      </c>
      <c r="Y15" s="45">
        <f t="shared" ref="Y15:Z15" si="20">Y7+SUM(Y9:Y14)</f>
        <v>48563</v>
      </c>
      <c r="Z15" s="45">
        <f t="shared" si="20"/>
        <v>69393</v>
      </c>
      <c r="AA15" s="45">
        <f t="shared" ref="AA15" si="21">AA7+SUM(AA9:AA14)</f>
        <v>66068</v>
      </c>
      <c r="AB15" s="45">
        <f t="shared" ref="AB15:AH15" si="22">AB7+SUM(AB9:AB14)</f>
        <v>54986</v>
      </c>
      <c r="AC15" s="45">
        <f t="shared" si="22"/>
        <v>66600</v>
      </c>
      <c r="AD15" s="45">
        <f t="shared" si="22"/>
        <v>69938</v>
      </c>
      <c r="AE15" s="45">
        <f t="shared" si="22"/>
        <v>75622</v>
      </c>
      <c r="AF15" s="45">
        <f t="shared" si="22"/>
        <v>69209</v>
      </c>
      <c r="AG15" s="45">
        <f t="shared" si="22"/>
        <v>61998</v>
      </c>
      <c r="AH15" s="45">
        <f t="shared" si="22"/>
        <v>84109</v>
      </c>
      <c r="AI15" s="45">
        <f t="shared" ref="AI15:AJ15" si="23">AI7+SUM(AI9:AI14)</f>
        <v>90891</v>
      </c>
      <c r="AJ15" s="45">
        <f t="shared" si="23"/>
        <v>65726</v>
      </c>
      <c r="AK15" s="45">
        <f t="shared" ref="AK15:AL15" si="24">AK7+SUM(AK9:AK14)</f>
        <v>56088</v>
      </c>
      <c r="AL15" s="45">
        <f t="shared" si="24"/>
        <v>78415</v>
      </c>
      <c r="AM15" s="45">
        <f t="shared" ref="AM15:AN15" si="25">AM7+SUM(AM9:AM14)</f>
        <v>71248</v>
      </c>
      <c r="AN15" s="45">
        <f t="shared" si="25"/>
        <v>83521</v>
      </c>
      <c r="AO15" s="45">
        <f t="shared" ref="AO15:AP15" si="26">AO7+SUM(AO9:AO14)</f>
        <v>56502</v>
      </c>
      <c r="AP15" s="45">
        <f t="shared" si="26"/>
        <v>81802</v>
      </c>
      <c r="AQ15" s="45">
        <f t="shared" ref="AQ15:AR15" si="27">AQ7+SUM(AQ9:AQ14)</f>
        <v>70821</v>
      </c>
      <c r="AR15" s="45">
        <f t="shared" si="27"/>
        <v>71221</v>
      </c>
      <c r="AS15" s="86">
        <f t="shared" ref="AS15" si="28">AS7+SUM(AS9:AS14)</f>
        <v>88127</v>
      </c>
    </row>
    <row r="16" spans="1:45" ht="20.100000000000001" customHeight="1">
      <c r="A16" s="9"/>
      <c r="B16" s="83"/>
      <c r="C16" s="189"/>
      <c r="D16" s="189"/>
      <c r="E16" s="189"/>
      <c r="F16" s="189"/>
      <c r="G16" s="189"/>
      <c r="H16" s="189"/>
      <c r="I16" s="189"/>
      <c r="J16" s="52"/>
      <c r="K16" s="52"/>
      <c r="L16" s="84"/>
      <c r="M16" s="58"/>
      <c r="N16" s="18"/>
      <c r="O16" s="12"/>
      <c r="P16" s="17"/>
      <c r="Q16" s="15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79"/>
      <c r="AS16" s="19"/>
    </row>
    <row r="17" spans="1:45" ht="20.100000000000001" customHeight="1">
      <c r="A17" s="2"/>
      <c r="B17" s="83" t="s">
        <v>6</v>
      </c>
      <c r="C17" s="52">
        <v>1140</v>
      </c>
      <c r="D17" s="52">
        <v>444</v>
      </c>
      <c r="E17" s="52">
        <v>4147</v>
      </c>
      <c r="F17" s="52">
        <v>257</v>
      </c>
      <c r="G17" s="52">
        <v>328</v>
      </c>
      <c r="H17" s="52">
        <v>153</v>
      </c>
      <c r="I17" s="52">
        <v>256</v>
      </c>
      <c r="J17" s="52">
        <v>525</v>
      </c>
      <c r="K17" s="52">
        <v>967</v>
      </c>
      <c r="L17" s="84">
        <v>5111</v>
      </c>
      <c r="M17" s="52">
        <v>858</v>
      </c>
      <c r="N17" s="52">
        <v>234</v>
      </c>
      <c r="O17" s="52">
        <v>-18</v>
      </c>
      <c r="P17" s="78">
        <f>IFERROR(J17-SUM(M17:O17),0)</f>
        <v>-549</v>
      </c>
      <c r="Q17" s="52">
        <v>30</v>
      </c>
      <c r="R17" s="52">
        <v>99</v>
      </c>
      <c r="S17" s="52">
        <v>-59</v>
      </c>
      <c r="T17" s="78">
        <f>IFERROR(I17-SUM(Q17:S17),0)</f>
        <v>186</v>
      </c>
      <c r="U17" s="52">
        <v>390</v>
      </c>
      <c r="V17" s="52">
        <v>-322</v>
      </c>
      <c r="W17" s="52">
        <v>7</v>
      </c>
      <c r="X17" s="78">
        <f>IFERROR(H17-SUM(U17:W17),0)</f>
        <v>78</v>
      </c>
      <c r="Y17" s="78">
        <v>50</v>
      </c>
      <c r="Z17" s="78">
        <v>908</v>
      </c>
      <c r="AA17" s="78">
        <v>-847</v>
      </c>
      <c r="AB17" s="78">
        <f>IFERROR(G17-SUM(Y17:AA17),0)</f>
        <v>217</v>
      </c>
      <c r="AC17" s="78">
        <v>61</v>
      </c>
      <c r="AD17" s="78">
        <v>79</v>
      </c>
      <c r="AE17" s="78">
        <v>41</v>
      </c>
      <c r="AF17" s="78">
        <f>IFERROR(F17-SUM(AC17:AE17),0)</f>
        <v>76</v>
      </c>
      <c r="AG17" s="78">
        <v>118</v>
      </c>
      <c r="AH17" s="78">
        <v>2753</v>
      </c>
      <c r="AI17" s="78">
        <v>-2379</v>
      </c>
      <c r="AJ17" s="78">
        <f>IFERROR(E17-SUM(AG17:AI17),0)</f>
        <v>3655</v>
      </c>
      <c r="AK17" s="78">
        <v>1077</v>
      </c>
      <c r="AL17" s="78">
        <v>-802</v>
      </c>
      <c r="AM17" s="78">
        <v>100</v>
      </c>
      <c r="AN17" s="78">
        <f>IFERROR(D17-SUM(AK17:AM17),0)</f>
        <v>69</v>
      </c>
      <c r="AO17" s="78">
        <v>1418</v>
      </c>
      <c r="AP17" s="78">
        <v>-1145</v>
      </c>
      <c r="AQ17" s="78">
        <v>124</v>
      </c>
      <c r="AR17" s="277">
        <f>IFERROR(C17-SUM(AO17:AQ17),0)</f>
        <v>743</v>
      </c>
      <c r="AS17" s="79">
        <v>85</v>
      </c>
    </row>
    <row r="18" spans="1:45" ht="20.100000000000001" customHeight="1">
      <c r="A18" s="2"/>
      <c r="B18" s="83" t="s">
        <v>7</v>
      </c>
      <c r="C18" s="52">
        <v>-33911</v>
      </c>
      <c r="D18" s="52">
        <v>-31086</v>
      </c>
      <c r="E18" s="52">
        <v>-29616</v>
      </c>
      <c r="F18" s="52">
        <v>-25199</v>
      </c>
      <c r="G18" s="52">
        <v>-7883</v>
      </c>
      <c r="H18" s="52">
        <v>-12092</v>
      </c>
      <c r="I18" s="52">
        <v>-9795</v>
      </c>
      <c r="J18" s="52">
        <v>-7196</v>
      </c>
      <c r="K18" s="52">
        <v>-12120</v>
      </c>
      <c r="L18" s="84">
        <v>-6150</v>
      </c>
      <c r="M18" s="52">
        <v>-3474</v>
      </c>
      <c r="N18" s="52">
        <v>-1267</v>
      </c>
      <c r="O18" s="52">
        <v>-1445</v>
      </c>
      <c r="P18" s="78">
        <f>IFERROR(J18-SUM(M18:O18),0)</f>
        <v>-1010</v>
      </c>
      <c r="Q18" s="52">
        <v>-2182</v>
      </c>
      <c r="R18" s="52">
        <v>-2465</v>
      </c>
      <c r="S18" s="52">
        <v>-2633</v>
      </c>
      <c r="T18" s="78">
        <f>IFERROR(I18-SUM(Q18:S18),0)</f>
        <v>-2515</v>
      </c>
      <c r="U18" s="52">
        <v>-3695</v>
      </c>
      <c r="V18" s="52">
        <v>-2084</v>
      </c>
      <c r="W18" s="52">
        <v>-1614</v>
      </c>
      <c r="X18" s="78">
        <f>IFERROR(H18-SUM(U18:W18),0)</f>
        <v>-4699</v>
      </c>
      <c r="Y18" s="78">
        <v>-1887</v>
      </c>
      <c r="Z18" s="78">
        <v>-1403</v>
      </c>
      <c r="AA18" s="78">
        <v>-1932</v>
      </c>
      <c r="AB18" s="78">
        <f>IFERROR(G18-SUM(Y18:AA18),0)</f>
        <v>-2661</v>
      </c>
      <c r="AC18" s="78">
        <v>-4205</v>
      </c>
      <c r="AD18" s="78">
        <v>-5471</v>
      </c>
      <c r="AE18" s="78">
        <v>-9189</v>
      </c>
      <c r="AF18" s="78">
        <f>IFERROR(F18-SUM(AC18:AE18),0)</f>
        <v>-6334</v>
      </c>
      <c r="AG18" s="78">
        <v>-8795</v>
      </c>
      <c r="AH18" s="78">
        <v>-7037</v>
      </c>
      <c r="AI18" s="78">
        <v>-7218</v>
      </c>
      <c r="AJ18" s="78">
        <f>IFERROR(E18-SUM(AG18:AI18),0)</f>
        <v>-6566</v>
      </c>
      <c r="AK18" s="78">
        <v>-6638</v>
      </c>
      <c r="AL18" s="78">
        <v>-6760</v>
      </c>
      <c r="AM18" s="78">
        <v>-8917</v>
      </c>
      <c r="AN18" s="78">
        <f>IFERROR(D18-SUM(AK18:AM18),0)</f>
        <v>-8771</v>
      </c>
      <c r="AO18" s="78">
        <v>-8836</v>
      </c>
      <c r="AP18" s="78">
        <v>-8766</v>
      </c>
      <c r="AQ18" s="78">
        <v>-9426</v>
      </c>
      <c r="AR18" s="277">
        <f>IFERROR(C18-SUM(AO18:AQ18),0)</f>
        <v>-6883</v>
      </c>
      <c r="AS18" s="79">
        <v>-10928</v>
      </c>
    </row>
    <row r="19" spans="1:45" ht="20.100000000000001" customHeight="1">
      <c r="A19" s="3"/>
      <c r="B19" s="85" t="s">
        <v>36</v>
      </c>
      <c r="C19" s="45">
        <f t="shared" ref="C19:K19" si="29">C15+SUM(C17:C18)</f>
        <v>247575</v>
      </c>
      <c r="D19" s="45">
        <f t="shared" si="29"/>
        <v>258630</v>
      </c>
      <c r="E19" s="45">
        <f t="shared" si="29"/>
        <v>277255</v>
      </c>
      <c r="F19" s="45">
        <f t="shared" si="29"/>
        <v>256427</v>
      </c>
      <c r="G19" s="45">
        <f t="shared" si="29"/>
        <v>231455</v>
      </c>
      <c r="H19" s="45">
        <f t="shared" si="29"/>
        <v>138343</v>
      </c>
      <c r="I19" s="45">
        <f t="shared" si="29"/>
        <v>74236</v>
      </c>
      <c r="J19" s="45">
        <f t="shared" si="29"/>
        <v>74301</v>
      </c>
      <c r="K19" s="45">
        <f t="shared" si="29"/>
        <v>44116</v>
      </c>
      <c r="L19" s="86">
        <v>43065</v>
      </c>
      <c r="M19" s="45">
        <f>M15+SUM(M17:M18)</f>
        <v>16372</v>
      </c>
      <c r="N19" s="45">
        <f t="shared" ref="N19:U19" si="30">N15+SUM(N17:N18)</f>
        <v>20707</v>
      </c>
      <c r="O19" s="45">
        <f t="shared" si="30"/>
        <v>20180</v>
      </c>
      <c r="P19" s="45">
        <f t="shared" si="30"/>
        <v>17042</v>
      </c>
      <c r="Q19" s="45">
        <f t="shared" si="30"/>
        <v>19296</v>
      </c>
      <c r="R19" s="45">
        <f t="shared" si="30"/>
        <v>16833</v>
      </c>
      <c r="S19" s="45">
        <f t="shared" si="30"/>
        <v>19498</v>
      </c>
      <c r="T19" s="45">
        <f t="shared" si="30"/>
        <v>18609</v>
      </c>
      <c r="U19" s="45">
        <f t="shared" si="30"/>
        <v>15696</v>
      </c>
      <c r="V19" s="45">
        <f t="shared" ref="V19:X19" si="31">V15+SUM(V17:V18)</f>
        <v>40472</v>
      </c>
      <c r="W19" s="45">
        <f t="shared" si="31"/>
        <v>45180</v>
      </c>
      <c r="X19" s="45">
        <f t="shared" si="31"/>
        <v>36995</v>
      </c>
      <c r="Y19" s="45">
        <f t="shared" ref="Y19:Z19" si="32">Y15+SUM(Y17:Y18)</f>
        <v>46726</v>
      </c>
      <c r="Z19" s="45">
        <f t="shared" si="32"/>
        <v>68898</v>
      </c>
      <c r="AA19" s="45">
        <f t="shared" ref="AA19:AG19" si="33">AA15+SUM(AA17:AA18)</f>
        <v>63289</v>
      </c>
      <c r="AB19" s="45">
        <f t="shared" si="33"/>
        <v>52542</v>
      </c>
      <c r="AC19" s="45">
        <f t="shared" si="33"/>
        <v>62456</v>
      </c>
      <c r="AD19" s="45">
        <f t="shared" si="33"/>
        <v>64546</v>
      </c>
      <c r="AE19" s="45">
        <f t="shared" si="33"/>
        <v>66474</v>
      </c>
      <c r="AF19" s="45">
        <f t="shared" si="33"/>
        <v>62951</v>
      </c>
      <c r="AG19" s="45">
        <f t="shared" si="33"/>
        <v>53321</v>
      </c>
      <c r="AH19" s="45">
        <f t="shared" ref="AH19:AI19" si="34">AH15+SUM(AH17:AH18)</f>
        <v>79825</v>
      </c>
      <c r="AI19" s="45">
        <f t="shared" si="34"/>
        <v>81294</v>
      </c>
      <c r="AJ19" s="45">
        <f>AJ15+SUM(AJ17:AJ18)</f>
        <v>62815</v>
      </c>
      <c r="AK19" s="45">
        <f t="shared" ref="AK19" si="35">AK15+SUM(AK17:AK18)</f>
        <v>50527</v>
      </c>
      <c r="AL19" s="45">
        <f t="shared" ref="AL19:AM19" si="36">AL15+SUM(AL17:AL18)</f>
        <v>70853</v>
      </c>
      <c r="AM19" s="45">
        <f t="shared" si="36"/>
        <v>62431</v>
      </c>
      <c r="AN19" s="45">
        <f>AN15+SUM(AN17:AN18)</f>
        <v>74819</v>
      </c>
      <c r="AO19" s="45">
        <f>AO15+SUM(AO17:AO18)</f>
        <v>49084</v>
      </c>
      <c r="AP19" s="45">
        <f>AP15+SUM(AP17:AP18)</f>
        <v>71891</v>
      </c>
      <c r="AQ19" s="45">
        <f>AQ15+SUM(AQ17:AQ18)</f>
        <v>61519</v>
      </c>
      <c r="AR19" s="45">
        <f>AR15+SUM(AR17:AR18)</f>
        <v>65081</v>
      </c>
      <c r="AS19" s="86">
        <f>AS15+SUM(AS17:AS18)</f>
        <v>77284</v>
      </c>
    </row>
    <row r="20" spans="1:45" ht="20.100000000000001" customHeight="1">
      <c r="A20" s="2"/>
      <c r="B20" s="83" t="s">
        <v>8</v>
      </c>
      <c r="C20" s="87">
        <v>-48643</v>
      </c>
      <c r="D20" s="87">
        <v>-50654</v>
      </c>
      <c r="E20" s="87">
        <v>-53669</v>
      </c>
      <c r="F20" s="87">
        <v>-49159</v>
      </c>
      <c r="G20" s="87">
        <v>-45431</v>
      </c>
      <c r="H20" s="87">
        <v>-27361</v>
      </c>
      <c r="I20" s="87">
        <v>-15522</v>
      </c>
      <c r="J20" s="87">
        <v>-15659</v>
      </c>
      <c r="K20" s="87">
        <v>-9232</v>
      </c>
      <c r="L20" s="88">
        <v>-8576</v>
      </c>
      <c r="M20" s="87">
        <v>-3477</v>
      </c>
      <c r="N20" s="87">
        <v>-4033</v>
      </c>
      <c r="O20" s="87">
        <v>-4277</v>
      </c>
      <c r="P20" s="78">
        <f>IFERROR(J20-SUM(M20:O20),0)</f>
        <v>-3872</v>
      </c>
      <c r="Q20" s="87">
        <v>-3808</v>
      </c>
      <c r="R20" s="87">
        <v>-3367</v>
      </c>
      <c r="S20" s="87">
        <v>-3861</v>
      </c>
      <c r="T20" s="78">
        <f>IFERROR(I20-SUM(Q20:S20),0)</f>
        <v>-4486</v>
      </c>
      <c r="U20" s="87">
        <v>-3018</v>
      </c>
      <c r="V20" s="87">
        <v>-7866</v>
      </c>
      <c r="W20" s="87">
        <v>-8594</v>
      </c>
      <c r="X20" s="78">
        <f>IFERROR(H20-SUM(U20:W20),0)</f>
        <v>-7883</v>
      </c>
      <c r="Y20" s="78">
        <v>-8971</v>
      </c>
      <c r="Z20" s="78">
        <v>-13288</v>
      </c>
      <c r="AA20" s="78">
        <v>-12272</v>
      </c>
      <c r="AB20" s="78">
        <f>IFERROR(G20-SUM(Y20:AA20),0)</f>
        <v>-10900</v>
      </c>
      <c r="AC20" s="78">
        <v>-12112</v>
      </c>
      <c r="AD20" s="78">
        <v>-12131</v>
      </c>
      <c r="AE20" s="78">
        <v>-12729</v>
      </c>
      <c r="AF20" s="78">
        <f>IFERROR(F20-SUM(AC20:AE20),0)</f>
        <v>-12187</v>
      </c>
      <c r="AG20" s="78">
        <v>-10302</v>
      </c>
      <c r="AH20" s="78">
        <v>-15674</v>
      </c>
      <c r="AI20" s="78">
        <v>-15645</v>
      </c>
      <c r="AJ20" s="78">
        <f>IFERROR(E20-SUM(AG20:AI20),0)</f>
        <v>-12048</v>
      </c>
      <c r="AK20" s="78">
        <v>-10206</v>
      </c>
      <c r="AL20" s="78">
        <v>-13925</v>
      </c>
      <c r="AM20" s="78">
        <v>-12256</v>
      </c>
      <c r="AN20" s="78">
        <f>IFERROR(D20-SUM(AK20:AM20),0)</f>
        <v>-14267</v>
      </c>
      <c r="AO20" s="78">
        <v>-9848</v>
      </c>
      <c r="AP20" s="78">
        <v>-13955</v>
      </c>
      <c r="AQ20" s="78">
        <v>-12327</v>
      </c>
      <c r="AR20" s="277">
        <f>IFERROR(C20-SUM(AO20:AQ20),0)</f>
        <v>-12513</v>
      </c>
      <c r="AS20" s="79">
        <v>-15191</v>
      </c>
    </row>
    <row r="21" spans="1:45" ht="20.100000000000001" customHeight="1">
      <c r="A21" s="2"/>
      <c r="B21" s="85" t="s">
        <v>37</v>
      </c>
      <c r="C21" s="45">
        <f t="shared" ref="C21:K21" si="37">C20+C19</f>
        <v>198932</v>
      </c>
      <c r="D21" s="45">
        <f t="shared" si="37"/>
        <v>207976</v>
      </c>
      <c r="E21" s="45">
        <f t="shared" si="37"/>
        <v>223586</v>
      </c>
      <c r="F21" s="45">
        <f t="shared" si="37"/>
        <v>207268</v>
      </c>
      <c r="G21" s="45">
        <f t="shared" si="37"/>
        <v>186024</v>
      </c>
      <c r="H21" s="45">
        <f t="shared" si="37"/>
        <v>110982</v>
      </c>
      <c r="I21" s="45">
        <f t="shared" si="37"/>
        <v>58714</v>
      </c>
      <c r="J21" s="45">
        <f t="shared" si="37"/>
        <v>58642</v>
      </c>
      <c r="K21" s="45">
        <f t="shared" si="37"/>
        <v>34884</v>
      </c>
      <c r="L21" s="86">
        <v>34489</v>
      </c>
      <c r="M21" s="45">
        <f>M20+M19</f>
        <v>12895</v>
      </c>
      <c r="N21" s="45">
        <f t="shared" ref="N21:U21" si="38">N20+N19</f>
        <v>16674</v>
      </c>
      <c r="O21" s="45">
        <f t="shared" si="38"/>
        <v>15903</v>
      </c>
      <c r="P21" s="45">
        <f t="shared" si="38"/>
        <v>13170</v>
      </c>
      <c r="Q21" s="45">
        <f t="shared" si="38"/>
        <v>15488</v>
      </c>
      <c r="R21" s="45">
        <f t="shared" si="38"/>
        <v>13466</v>
      </c>
      <c r="S21" s="45">
        <f t="shared" si="38"/>
        <v>15637</v>
      </c>
      <c r="T21" s="45">
        <f t="shared" si="38"/>
        <v>14123</v>
      </c>
      <c r="U21" s="45">
        <f t="shared" si="38"/>
        <v>12678</v>
      </c>
      <c r="V21" s="45">
        <f t="shared" ref="V21:X21" si="39">V20+V19</f>
        <v>32606</v>
      </c>
      <c r="W21" s="45">
        <f t="shared" si="39"/>
        <v>36586</v>
      </c>
      <c r="X21" s="45">
        <f t="shared" si="39"/>
        <v>29112</v>
      </c>
      <c r="Y21" s="45">
        <f t="shared" ref="Y21:Z21" si="40">Y20+Y19</f>
        <v>37755</v>
      </c>
      <c r="Z21" s="45">
        <f t="shared" si="40"/>
        <v>55610</v>
      </c>
      <c r="AA21" s="45">
        <f t="shared" ref="AA21:AB21" si="41">AA20+AA19</f>
        <v>51017</v>
      </c>
      <c r="AB21" s="45">
        <f t="shared" si="41"/>
        <v>41642</v>
      </c>
      <c r="AC21" s="45">
        <f t="shared" ref="AC21:AD21" si="42">AC20+AC19</f>
        <v>50344</v>
      </c>
      <c r="AD21" s="45">
        <f t="shared" si="42"/>
        <v>52415</v>
      </c>
      <c r="AE21" s="45">
        <f t="shared" ref="AE21:AF21" si="43">AE20+AE19</f>
        <v>53745</v>
      </c>
      <c r="AF21" s="45">
        <f t="shared" si="43"/>
        <v>50764</v>
      </c>
      <c r="AG21" s="45">
        <f t="shared" ref="AG21:AH21" si="44">AG20+AG19</f>
        <v>43019</v>
      </c>
      <c r="AH21" s="45">
        <f t="shared" si="44"/>
        <v>64151</v>
      </c>
      <c r="AI21" s="45">
        <f t="shared" ref="AI21:AJ21" si="45">AI20+AI19</f>
        <v>65649</v>
      </c>
      <c r="AJ21" s="45">
        <f t="shared" si="45"/>
        <v>50767</v>
      </c>
      <c r="AK21" s="45">
        <f t="shared" ref="AK21:AL21" si="46">AK20+AK19</f>
        <v>40321</v>
      </c>
      <c r="AL21" s="45">
        <f t="shared" si="46"/>
        <v>56928</v>
      </c>
      <c r="AM21" s="45">
        <f t="shared" ref="AM21:AN21" si="47">AM20+AM19</f>
        <v>50175</v>
      </c>
      <c r="AN21" s="45">
        <f t="shared" si="47"/>
        <v>60552</v>
      </c>
      <c r="AO21" s="45">
        <f t="shared" ref="AO21:AP21" si="48">AO20+AO19</f>
        <v>39236</v>
      </c>
      <c r="AP21" s="45">
        <f t="shared" si="48"/>
        <v>57936</v>
      </c>
      <c r="AQ21" s="45">
        <f t="shared" ref="AQ21:AR21" si="49">AQ20+AQ19</f>
        <v>49192</v>
      </c>
      <c r="AR21" s="45">
        <f t="shared" si="49"/>
        <v>52568</v>
      </c>
      <c r="AS21" s="86">
        <f t="shared" ref="AS21" si="50">AS20+AS19</f>
        <v>62093</v>
      </c>
    </row>
    <row r="22" spans="1:45" ht="20.100000000000001" customHeight="1">
      <c r="A22" s="2"/>
      <c r="B22" s="83"/>
      <c r="C22" s="189"/>
      <c r="D22" s="189"/>
      <c r="E22" s="189"/>
      <c r="F22" s="189"/>
      <c r="G22" s="189"/>
      <c r="H22" s="189"/>
      <c r="I22" s="189"/>
      <c r="J22" s="52"/>
      <c r="K22" s="52"/>
      <c r="L22" s="84"/>
      <c r="M22" s="60"/>
      <c r="N22" s="29"/>
      <c r="O22" s="29"/>
      <c r="P22" s="28"/>
      <c r="Q22" s="28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280"/>
      <c r="AS22" s="61"/>
    </row>
    <row r="23" spans="1:45" ht="20.100000000000001" customHeight="1">
      <c r="A23" s="2"/>
      <c r="B23" s="89" t="s">
        <v>38</v>
      </c>
      <c r="C23" s="52"/>
      <c r="D23" s="52"/>
      <c r="E23" s="52"/>
      <c r="F23" s="52"/>
      <c r="G23" s="52"/>
      <c r="H23" s="52"/>
      <c r="I23" s="52"/>
      <c r="J23" s="52"/>
      <c r="K23" s="52"/>
      <c r="L23" s="84"/>
      <c r="M23" s="59"/>
      <c r="N23" s="29"/>
      <c r="O23" s="29"/>
      <c r="P23" s="27"/>
      <c r="Q23" s="27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281"/>
      <c r="AS23" s="62"/>
    </row>
    <row r="24" spans="1:45" ht="20.100000000000001" customHeight="1">
      <c r="A24" s="2"/>
      <c r="B24" s="83" t="s">
        <v>22</v>
      </c>
      <c r="C24" s="214">
        <v>0</v>
      </c>
      <c r="D24" s="214">
        <v>0</v>
      </c>
      <c r="E24" s="214">
        <v>0</v>
      </c>
      <c r="F24" s="214">
        <v>0</v>
      </c>
      <c r="G24" s="214">
        <v>0</v>
      </c>
      <c r="H24" s="214">
        <v>0</v>
      </c>
      <c r="I24" s="214">
        <v>0</v>
      </c>
      <c r="J24" s="52">
        <v>0</v>
      </c>
      <c r="K24" s="52">
        <v>0</v>
      </c>
      <c r="L24" s="84">
        <v>0</v>
      </c>
      <c r="M24" s="52">
        <v>0</v>
      </c>
      <c r="N24" s="52">
        <v>0</v>
      </c>
      <c r="O24" s="52">
        <v>0</v>
      </c>
      <c r="P24" s="78">
        <f>IFERROR(J24-SUM(M24:O24),0)</f>
        <v>0</v>
      </c>
      <c r="Q24" s="52">
        <v>0</v>
      </c>
      <c r="R24" s="52">
        <v>0</v>
      </c>
      <c r="S24" s="52">
        <v>0</v>
      </c>
      <c r="T24" s="78">
        <f>IFERROR(I24-SUM(Q24:S24),0)</f>
        <v>0</v>
      </c>
      <c r="U24" s="52">
        <v>0</v>
      </c>
      <c r="V24" s="52">
        <v>0</v>
      </c>
      <c r="W24" s="52">
        <v>0</v>
      </c>
      <c r="X24" s="78">
        <f>IFERROR(H24-SUM(U24:W24),0)</f>
        <v>0</v>
      </c>
      <c r="Y24" s="78">
        <f>IFERROR(I24-SUM(V24:X24),0)</f>
        <v>0</v>
      </c>
      <c r="Z24" s="78">
        <v>0</v>
      </c>
      <c r="AA24" s="78">
        <v>0</v>
      </c>
      <c r="AB24" s="78">
        <f>IFERROR(G24-SUM(Y24:AA24),0)</f>
        <v>0</v>
      </c>
      <c r="AC24" s="78">
        <v>0</v>
      </c>
      <c r="AD24" s="78">
        <v>0</v>
      </c>
      <c r="AE24" s="78">
        <v>0</v>
      </c>
      <c r="AF24" s="78">
        <f>IFERROR(F24-SUM(AC24:AE24),0)</f>
        <v>0</v>
      </c>
      <c r="AG24" s="78">
        <v>0</v>
      </c>
      <c r="AH24" s="78">
        <v>0</v>
      </c>
      <c r="AI24" s="78">
        <v>0</v>
      </c>
      <c r="AJ24" s="78">
        <f>IFERROR(E24-SUM(AG24:AI24),0)</f>
        <v>0</v>
      </c>
      <c r="AK24" s="78">
        <v>0</v>
      </c>
      <c r="AL24" s="78">
        <v>0</v>
      </c>
      <c r="AM24" s="78">
        <v>0</v>
      </c>
      <c r="AN24" s="78">
        <f>IFERROR(D24-SUM(AK24:AM24),0)</f>
        <v>0</v>
      </c>
      <c r="AO24" s="78">
        <v>0</v>
      </c>
      <c r="AP24" s="78">
        <v>0</v>
      </c>
      <c r="AQ24" s="78">
        <v>0</v>
      </c>
      <c r="AR24" s="277">
        <f>IFERROR(C24-SUM(AO24:AQ24),0)</f>
        <v>0</v>
      </c>
      <c r="AS24" s="79">
        <v>0</v>
      </c>
    </row>
    <row r="25" spans="1:45" ht="20.100000000000001" customHeight="1">
      <c r="A25" s="2"/>
      <c r="B25" s="83"/>
      <c r="C25" s="189"/>
      <c r="D25" s="189"/>
      <c r="E25" s="189"/>
      <c r="F25" s="189"/>
      <c r="G25" s="189"/>
      <c r="H25" s="189"/>
      <c r="I25" s="189"/>
      <c r="J25" s="52"/>
      <c r="K25" s="52"/>
      <c r="L25" s="84"/>
      <c r="M25" s="63"/>
      <c r="N25" s="12"/>
      <c r="O25" s="12"/>
      <c r="P25" s="20"/>
      <c r="Q25" s="15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79"/>
      <c r="AS25" s="19"/>
    </row>
    <row r="26" spans="1:45" ht="20.100000000000001" customHeight="1">
      <c r="A26" s="2"/>
      <c r="B26" s="85" t="s">
        <v>39</v>
      </c>
      <c r="C26" s="45">
        <f t="shared" ref="C26:K26" si="51">C21+C24</f>
        <v>198932</v>
      </c>
      <c r="D26" s="45">
        <f t="shared" si="51"/>
        <v>207976</v>
      </c>
      <c r="E26" s="45">
        <f t="shared" si="51"/>
        <v>223586</v>
      </c>
      <c r="F26" s="45">
        <f t="shared" si="51"/>
        <v>207268</v>
      </c>
      <c r="G26" s="45">
        <f t="shared" si="51"/>
        <v>186024</v>
      </c>
      <c r="H26" s="45">
        <f t="shared" si="51"/>
        <v>110982</v>
      </c>
      <c r="I26" s="45">
        <f t="shared" si="51"/>
        <v>58714</v>
      </c>
      <c r="J26" s="45">
        <f t="shared" si="51"/>
        <v>58642</v>
      </c>
      <c r="K26" s="45">
        <f t="shared" si="51"/>
        <v>34884</v>
      </c>
      <c r="L26" s="86">
        <v>34489</v>
      </c>
      <c r="M26" s="45">
        <f>M21+M24</f>
        <v>12895</v>
      </c>
      <c r="N26" s="45">
        <f t="shared" ref="N26:U26" si="52">N21+N24</f>
        <v>16674</v>
      </c>
      <c r="O26" s="45">
        <f t="shared" si="52"/>
        <v>15903</v>
      </c>
      <c r="P26" s="45">
        <f t="shared" si="52"/>
        <v>13170</v>
      </c>
      <c r="Q26" s="45">
        <f t="shared" si="52"/>
        <v>15488</v>
      </c>
      <c r="R26" s="45">
        <f t="shared" si="52"/>
        <v>13466</v>
      </c>
      <c r="S26" s="45">
        <f t="shared" si="52"/>
        <v>15637</v>
      </c>
      <c r="T26" s="45">
        <f t="shared" si="52"/>
        <v>14123</v>
      </c>
      <c r="U26" s="45">
        <f t="shared" si="52"/>
        <v>12678</v>
      </c>
      <c r="V26" s="45">
        <f t="shared" ref="V26:X26" si="53">V21+V24</f>
        <v>32606</v>
      </c>
      <c r="W26" s="45">
        <f t="shared" si="53"/>
        <v>36586</v>
      </c>
      <c r="X26" s="45">
        <f t="shared" si="53"/>
        <v>29112</v>
      </c>
      <c r="Y26" s="45">
        <f t="shared" ref="Y26:Z26" si="54">Y21+Y24</f>
        <v>37755</v>
      </c>
      <c r="Z26" s="45">
        <f t="shared" si="54"/>
        <v>55610</v>
      </c>
      <c r="AA26" s="45">
        <f t="shared" ref="AA26:AB26" si="55">AA21+AA24</f>
        <v>51017</v>
      </c>
      <c r="AB26" s="45">
        <f t="shared" si="55"/>
        <v>41642</v>
      </c>
      <c r="AC26" s="45">
        <f t="shared" ref="AC26:AD26" si="56">AC21+AC24</f>
        <v>50344</v>
      </c>
      <c r="AD26" s="45">
        <f t="shared" si="56"/>
        <v>52415</v>
      </c>
      <c r="AE26" s="45">
        <f t="shared" ref="AE26:AF26" si="57">AE21+AE24</f>
        <v>53745</v>
      </c>
      <c r="AF26" s="45">
        <f t="shared" si="57"/>
        <v>50764</v>
      </c>
      <c r="AG26" s="45">
        <f t="shared" ref="AG26:AH26" si="58">AG21+AG24</f>
        <v>43019</v>
      </c>
      <c r="AH26" s="45">
        <f t="shared" si="58"/>
        <v>64151</v>
      </c>
      <c r="AI26" s="45">
        <f t="shared" ref="AI26:AJ26" si="59">AI21+AI24</f>
        <v>65649</v>
      </c>
      <c r="AJ26" s="45">
        <f t="shared" si="59"/>
        <v>50767</v>
      </c>
      <c r="AK26" s="45">
        <f t="shared" ref="AK26:AL26" si="60">AK21+AK24</f>
        <v>40321</v>
      </c>
      <c r="AL26" s="45">
        <f t="shared" si="60"/>
        <v>56928</v>
      </c>
      <c r="AM26" s="45">
        <f t="shared" ref="AM26:AN26" si="61">AM21+AM24</f>
        <v>50175</v>
      </c>
      <c r="AN26" s="45">
        <f t="shared" si="61"/>
        <v>60552</v>
      </c>
      <c r="AO26" s="45">
        <f t="shared" ref="AO26:AP26" si="62">AO21+AO24</f>
        <v>39236</v>
      </c>
      <c r="AP26" s="45">
        <f t="shared" si="62"/>
        <v>57936</v>
      </c>
      <c r="AQ26" s="45">
        <f t="shared" ref="AQ26:AR26" si="63">AQ21+AQ24</f>
        <v>49192</v>
      </c>
      <c r="AR26" s="45">
        <f t="shared" si="63"/>
        <v>52568</v>
      </c>
      <c r="AS26" s="86">
        <f t="shared" ref="AS26" si="64">AS21+AS24</f>
        <v>62093</v>
      </c>
    </row>
    <row r="27" spans="1:45" ht="20.100000000000001" customHeight="1">
      <c r="A27" s="2"/>
      <c r="B27" s="83"/>
      <c r="C27" s="189"/>
      <c r="D27" s="189"/>
      <c r="E27" s="189"/>
      <c r="F27" s="189"/>
      <c r="G27" s="189"/>
      <c r="H27" s="189"/>
      <c r="I27" s="189"/>
      <c r="J27" s="52"/>
      <c r="K27" s="52"/>
      <c r="L27" s="84"/>
      <c r="M27" s="64"/>
      <c r="N27" s="32"/>
      <c r="O27" s="33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282"/>
      <c r="AS27" s="31"/>
    </row>
    <row r="28" spans="1:45" ht="20.100000000000001" customHeight="1">
      <c r="A28" s="2"/>
      <c r="B28" s="89" t="s">
        <v>40</v>
      </c>
      <c r="C28" s="78"/>
      <c r="D28" s="78"/>
      <c r="E28" s="78"/>
      <c r="F28" s="78"/>
      <c r="G28" s="78"/>
      <c r="H28" s="78"/>
      <c r="I28" s="78"/>
      <c r="J28" s="52"/>
      <c r="K28" s="52"/>
      <c r="L28" s="84"/>
      <c r="M28" s="54"/>
      <c r="N28" s="11"/>
      <c r="O28" s="25"/>
      <c r="P28" s="25"/>
      <c r="Q28" s="25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283"/>
      <c r="AS28" s="55"/>
    </row>
    <row r="29" spans="1:45" ht="20.100000000000001" customHeight="1">
      <c r="A29" s="2"/>
      <c r="B29" s="89"/>
      <c r="C29" s="78"/>
      <c r="D29" s="78"/>
      <c r="E29" s="78"/>
      <c r="F29" s="78"/>
      <c r="G29" s="78"/>
      <c r="H29" s="78"/>
      <c r="I29" s="78"/>
      <c r="J29" s="52"/>
      <c r="K29" s="52"/>
      <c r="L29" s="84"/>
      <c r="M29" s="54"/>
      <c r="N29" s="18"/>
      <c r="O29" s="11"/>
      <c r="P29" s="25"/>
      <c r="Q29" s="15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79"/>
      <c r="AS29" s="19"/>
    </row>
    <row r="30" spans="1:45" ht="20.100000000000001" customHeight="1">
      <c r="A30" s="2"/>
      <c r="B30" s="77" t="s">
        <v>41</v>
      </c>
      <c r="C30" s="78">
        <v>253</v>
      </c>
      <c r="D30" s="78">
        <v>-282</v>
      </c>
      <c r="E30" s="78">
        <v>-625</v>
      </c>
      <c r="F30" s="78">
        <v>-347</v>
      </c>
      <c r="G30" s="78">
        <v>-393</v>
      </c>
      <c r="H30" s="78">
        <v>-252</v>
      </c>
      <c r="I30" s="78">
        <v>-18</v>
      </c>
      <c r="J30" s="78">
        <v>-8</v>
      </c>
      <c r="K30" s="78">
        <v>-14</v>
      </c>
      <c r="L30" s="84" t="s">
        <v>11</v>
      </c>
      <c r="M30" s="78">
        <v>-19</v>
      </c>
      <c r="N30" s="78">
        <v>23</v>
      </c>
      <c r="O30" s="78">
        <v>6</v>
      </c>
      <c r="P30" s="78">
        <f>IFERROR(J30-SUM(M30:O30),0)</f>
        <v>-18</v>
      </c>
      <c r="Q30" s="78">
        <v>4</v>
      </c>
      <c r="R30" s="78">
        <v>-15</v>
      </c>
      <c r="S30" s="78">
        <v>-39</v>
      </c>
      <c r="T30" s="78">
        <f>IFERROR(I30-SUM(Q30:S30),0)</f>
        <v>32</v>
      </c>
      <c r="U30" s="78">
        <v>59</v>
      </c>
      <c r="V30" s="78">
        <v>-14</v>
      </c>
      <c r="W30" s="78">
        <v>4</v>
      </c>
      <c r="X30" s="78">
        <f>IFERROR(H30-SUM(U30:W30),0)</f>
        <v>-301</v>
      </c>
      <c r="Y30" s="78">
        <v>-120</v>
      </c>
      <c r="Z30" s="78">
        <v>27</v>
      </c>
      <c r="AA30" s="78">
        <v>-170</v>
      </c>
      <c r="AB30" s="78">
        <f>IFERROR(G30-SUM(Y30:AA30),0)</f>
        <v>-130</v>
      </c>
      <c r="AC30" s="78">
        <v>-214</v>
      </c>
      <c r="AD30" s="78">
        <v>47</v>
      </c>
      <c r="AE30" s="78">
        <v>-335</v>
      </c>
      <c r="AF30" s="78">
        <f>IFERROR(F30-SUM(AC30:AE30),0)</f>
        <v>155</v>
      </c>
      <c r="AG30" s="78">
        <v>-154</v>
      </c>
      <c r="AH30" s="78">
        <v>397</v>
      </c>
      <c r="AI30" s="78">
        <v>-215</v>
      </c>
      <c r="AJ30" s="78">
        <f>IFERROR(E30-SUM(AG30:AI30),0)</f>
        <v>-653</v>
      </c>
      <c r="AK30" s="78">
        <v>-266</v>
      </c>
      <c r="AL30" s="78">
        <v>108</v>
      </c>
      <c r="AM30" s="78">
        <v>-112</v>
      </c>
      <c r="AN30" s="78">
        <f>IFERROR(D30-SUM(AK30:AM30),0)</f>
        <v>-12</v>
      </c>
      <c r="AO30" s="78">
        <v>-215</v>
      </c>
      <c r="AP30" s="78">
        <v>200</v>
      </c>
      <c r="AQ30" s="78">
        <v>-1333</v>
      </c>
      <c r="AR30" s="277">
        <f>IFERROR(C30-SUM(AO30:AQ30),0)</f>
        <v>1601</v>
      </c>
      <c r="AS30" s="79">
        <v>75</v>
      </c>
    </row>
    <row r="31" spans="1:45" ht="20.100000000000001" customHeight="1">
      <c r="A31" s="2"/>
      <c r="B31" s="77"/>
      <c r="C31" s="188"/>
      <c r="D31" s="188"/>
      <c r="E31" s="188"/>
      <c r="F31" s="188"/>
      <c r="G31" s="188"/>
      <c r="H31" s="188"/>
      <c r="I31" s="188"/>
      <c r="J31" s="78"/>
      <c r="K31" s="78"/>
      <c r="L31" s="84"/>
      <c r="M31" s="58"/>
      <c r="N31" s="21"/>
      <c r="O31" s="12"/>
      <c r="P31" s="12"/>
      <c r="Q31" s="15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79"/>
      <c r="AS31" s="19"/>
    </row>
    <row r="32" spans="1:45" ht="20.100000000000001" customHeight="1">
      <c r="A32" s="2"/>
      <c r="B32" s="80" t="s">
        <v>42</v>
      </c>
      <c r="C32" s="44">
        <f t="shared" ref="C32:K32" si="65">C30+C26</f>
        <v>199185</v>
      </c>
      <c r="D32" s="44">
        <f t="shared" si="65"/>
        <v>207694</v>
      </c>
      <c r="E32" s="44">
        <f t="shared" si="65"/>
        <v>222961</v>
      </c>
      <c r="F32" s="44">
        <f t="shared" si="65"/>
        <v>206921</v>
      </c>
      <c r="G32" s="44">
        <f t="shared" si="65"/>
        <v>185631</v>
      </c>
      <c r="H32" s="44">
        <f t="shared" si="65"/>
        <v>110730</v>
      </c>
      <c r="I32" s="44">
        <f t="shared" si="65"/>
        <v>58696</v>
      </c>
      <c r="J32" s="44">
        <f t="shared" si="65"/>
        <v>58634</v>
      </c>
      <c r="K32" s="44">
        <f t="shared" si="65"/>
        <v>34870</v>
      </c>
      <c r="L32" s="81">
        <v>34489</v>
      </c>
      <c r="M32" s="44">
        <f>M30+M26</f>
        <v>12876</v>
      </c>
      <c r="N32" s="44">
        <f t="shared" ref="N32:U32" si="66">N30+N26</f>
        <v>16697</v>
      </c>
      <c r="O32" s="44">
        <f t="shared" si="66"/>
        <v>15909</v>
      </c>
      <c r="P32" s="44">
        <f t="shared" si="66"/>
        <v>13152</v>
      </c>
      <c r="Q32" s="44">
        <f t="shared" si="66"/>
        <v>15492</v>
      </c>
      <c r="R32" s="44">
        <f t="shared" si="66"/>
        <v>13451</v>
      </c>
      <c r="S32" s="44">
        <f t="shared" si="66"/>
        <v>15598</v>
      </c>
      <c r="T32" s="44">
        <f t="shared" si="66"/>
        <v>14155</v>
      </c>
      <c r="U32" s="44">
        <f t="shared" si="66"/>
        <v>12737</v>
      </c>
      <c r="V32" s="44">
        <f t="shared" ref="V32:X32" si="67">V30+V26</f>
        <v>32592</v>
      </c>
      <c r="W32" s="44">
        <f t="shared" si="67"/>
        <v>36590</v>
      </c>
      <c r="X32" s="44">
        <f t="shared" si="67"/>
        <v>28811</v>
      </c>
      <c r="Y32" s="44">
        <f t="shared" ref="Y32:Z32" si="68">Y30+Y26</f>
        <v>37635</v>
      </c>
      <c r="Z32" s="44">
        <f t="shared" si="68"/>
        <v>55637</v>
      </c>
      <c r="AA32" s="44">
        <f t="shared" ref="AA32:AB32" si="69">AA30+AA26</f>
        <v>50847</v>
      </c>
      <c r="AB32" s="44">
        <f t="shared" si="69"/>
        <v>41512</v>
      </c>
      <c r="AC32" s="44">
        <f t="shared" ref="AC32:AD32" si="70">AC30+AC26</f>
        <v>50130</v>
      </c>
      <c r="AD32" s="44">
        <f t="shared" si="70"/>
        <v>52462</v>
      </c>
      <c r="AE32" s="44">
        <f t="shared" ref="AE32:AF32" si="71">AE30+AE26</f>
        <v>53410</v>
      </c>
      <c r="AF32" s="44">
        <f t="shared" si="71"/>
        <v>50919</v>
      </c>
      <c r="AG32" s="44">
        <f t="shared" ref="AG32:AH32" si="72">AG30+AG26</f>
        <v>42865</v>
      </c>
      <c r="AH32" s="44">
        <f t="shared" si="72"/>
        <v>64548</v>
      </c>
      <c r="AI32" s="44">
        <f t="shared" ref="AI32:AJ32" si="73">AI30+AI26</f>
        <v>65434</v>
      </c>
      <c r="AJ32" s="44">
        <f t="shared" si="73"/>
        <v>50114</v>
      </c>
      <c r="AK32" s="44">
        <f t="shared" ref="AK32:AL32" si="74">AK30+AK26</f>
        <v>40055</v>
      </c>
      <c r="AL32" s="44">
        <f t="shared" si="74"/>
        <v>57036</v>
      </c>
      <c r="AM32" s="44">
        <f t="shared" ref="AM32:AN32" si="75">AM30+AM26</f>
        <v>50063</v>
      </c>
      <c r="AN32" s="44">
        <f t="shared" si="75"/>
        <v>60540</v>
      </c>
      <c r="AO32" s="44">
        <f t="shared" ref="AO32:AP32" si="76">AO30+AO26</f>
        <v>39021</v>
      </c>
      <c r="AP32" s="44">
        <f t="shared" si="76"/>
        <v>58136</v>
      </c>
      <c r="AQ32" s="44">
        <f t="shared" ref="AQ32:AR32" si="77">AQ30+AQ26</f>
        <v>47859</v>
      </c>
      <c r="AR32" s="44">
        <f t="shared" si="77"/>
        <v>54169</v>
      </c>
      <c r="AS32" s="81">
        <f t="shared" ref="AS32" si="78">AS30+AS26</f>
        <v>62168</v>
      </c>
    </row>
    <row r="33" spans="1:45" ht="20.100000000000001" customHeight="1">
      <c r="A33" s="2"/>
      <c r="B33" s="77"/>
      <c r="C33" s="188"/>
      <c r="D33" s="188"/>
      <c r="E33" s="188"/>
      <c r="F33" s="188"/>
      <c r="G33" s="188"/>
      <c r="H33" s="188"/>
      <c r="I33" s="188"/>
      <c r="J33" s="78"/>
      <c r="K33" s="78"/>
      <c r="L33" s="79"/>
      <c r="M33" s="16"/>
      <c r="N33" s="22"/>
      <c r="O33" s="12"/>
      <c r="P33" s="12"/>
      <c r="Q33" s="15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79"/>
      <c r="AS33" s="19"/>
    </row>
    <row r="34" spans="1:45" ht="20.100000000000001" customHeight="1">
      <c r="A34" s="2"/>
      <c r="B34" s="90" t="s">
        <v>43</v>
      </c>
      <c r="C34" s="92"/>
      <c r="D34" s="92"/>
      <c r="E34" s="92"/>
      <c r="F34" s="92"/>
      <c r="G34" s="92"/>
      <c r="H34" s="92"/>
      <c r="I34" s="92"/>
      <c r="J34" s="51"/>
      <c r="K34" s="51"/>
      <c r="L34" s="84"/>
      <c r="M34" s="58"/>
      <c r="N34" s="35"/>
      <c r="O34" s="35"/>
      <c r="P34" s="36"/>
      <c r="Q34" s="15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79"/>
      <c r="AS34" s="19"/>
    </row>
    <row r="35" spans="1:45" ht="20.100000000000001" customHeight="1">
      <c r="A35" s="2"/>
      <c r="B35" s="91" t="s">
        <v>44</v>
      </c>
      <c r="C35" s="92"/>
      <c r="D35" s="92"/>
      <c r="E35" s="92"/>
      <c r="F35" s="92"/>
      <c r="G35" s="92"/>
      <c r="H35" s="92"/>
      <c r="I35" s="92"/>
      <c r="J35" s="51"/>
      <c r="K35" s="51"/>
      <c r="L35" s="84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284"/>
      <c r="AS35" s="93"/>
    </row>
    <row r="36" spans="1:45" ht="20.100000000000001" customHeight="1">
      <c r="A36" s="2"/>
      <c r="B36" s="91"/>
      <c r="C36" s="92"/>
      <c r="D36" s="92"/>
      <c r="E36" s="92"/>
      <c r="F36" s="92"/>
      <c r="G36" s="92"/>
      <c r="H36" s="92"/>
      <c r="I36" s="92"/>
      <c r="J36" s="51"/>
      <c r="K36" s="51"/>
      <c r="L36" s="84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284"/>
      <c r="AS36" s="93"/>
    </row>
    <row r="37" spans="1:45" ht="20.100000000000001" customHeight="1">
      <c r="A37" s="2"/>
      <c r="B37" s="91" t="s">
        <v>10</v>
      </c>
      <c r="C37" s="92"/>
      <c r="D37" s="92"/>
      <c r="E37" s="92"/>
      <c r="F37" s="92"/>
      <c r="G37" s="92"/>
      <c r="H37" s="92"/>
      <c r="I37" s="92"/>
      <c r="J37" s="51"/>
      <c r="K37" s="51"/>
      <c r="L37" s="84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284"/>
      <c r="AS37" s="93"/>
    </row>
    <row r="38" spans="1:45" ht="20.100000000000001" customHeight="1">
      <c r="A38" s="2"/>
      <c r="B38" s="91" t="s">
        <v>45</v>
      </c>
      <c r="C38" s="92">
        <v>1.52</v>
      </c>
      <c r="D38" s="92">
        <v>1.59</v>
      </c>
      <c r="E38" s="92">
        <v>1.71</v>
      </c>
      <c r="F38" s="92">
        <v>1.59</v>
      </c>
      <c r="G38" s="92">
        <v>1.42</v>
      </c>
      <c r="H38" s="92">
        <v>0.85</v>
      </c>
      <c r="I38" s="92">
        <v>0.45</v>
      </c>
      <c r="J38" s="92">
        <v>0.45</v>
      </c>
      <c r="K38" s="92">
        <v>0.28000000000000003</v>
      </c>
      <c r="L38" s="93">
        <v>0.32</v>
      </c>
      <c r="M38" s="92">
        <v>0.1</v>
      </c>
      <c r="N38" s="92">
        <v>0.13</v>
      </c>
      <c r="O38" s="92">
        <v>0.12</v>
      </c>
      <c r="P38" s="216">
        <f>IFERROR(J38-SUM(M38:O38),0)</f>
        <v>0.10000000000000003</v>
      </c>
      <c r="Q38" s="92">
        <v>0.12</v>
      </c>
      <c r="R38" s="92">
        <v>0.1</v>
      </c>
      <c r="S38" s="92">
        <v>0.12</v>
      </c>
      <c r="T38" s="216">
        <f>IFERROR(I38-SUM(Q38:S38),0)</f>
        <v>0.11000000000000004</v>
      </c>
      <c r="U38" s="92">
        <v>0.1</v>
      </c>
      <c r="V38" s="92">
        <v>0.25</v>
      </c>
      <c r="W38" s="92">
        <v>0.28000000000000003</v>
      </c>
      <c r="X38" s="216">
        <f>IFERROR(H38-SUM(U38:W38),0)</f>
        <v>0.21999999999999997</v>
      </c>
      <c r="Y38" s="216">
        <v>0.28999999999999998</v>
      </c>
      <c r="Z38" s="216">
        <v>0.42</v>
      </c>
      <c r="AA38" s="216">
        <v>0.39</v>
      </c>
      <c r="AB38" s="216">
        <f>IFERROR(G38-SUM(Y38:AA38),0)</f>
        <v>0.31999999999999984</v>
      </c>
      <c r="AC38" s="216">
        <v>0.39</v>
      </c>
      <c r="AD38" s="216">
        <v>0.4</v>
      </c>
      <c r="AE38" s="216">
        <v>0.41</v>
      </c>
      <c r="AF38" s="216">
        <f>IFERROR(F38-SUM(AC38:AE38),0)</f>
        <v>0.39000000000000012</v>
      </c>
      <c r="AG38" s="216">
        <v>0.33</v>
      </c>
      <c r="AH38" s="216">
        <v>0.49</v>
      </c>
      <c r="AI38" s="216">
        <v>0.5</v>
      </c>
      <c r="AJ38" s="216">
        <f>IFERROR(E38-SUM(AG38:AI38),0)</f>
        <v>0.3899999999999999</v>
      </c>
      <c r="AK38" s="216">
        <v>0.31</v>
      </c>
      <c r="AL38" s="216">
        <v>0.44</v>
      </c>
      <c r="AM38" s="216">
        <v>0.38</v>
      </c>
      <c r="AN38" s="216">
        <f>IFERROR(D38-SUM(AK38:AM38),0)</f>
        <v>0.46000000000000019</v>
      </c>
      <c r="AO38" s="216">
        <v>0.3</v>
      </c>
      <c r="AP38" s="216">
        <v>0.44</v>
      </c>
      <c r="AQ38" s="216">
        <v>0.38</v>
      </c>
      <c r="AR38" s="285">
        <f>IFERROR(C38-SUM(AO38:AQ38),0)</f>
        <v>0.39999999999999991</v>
      </c>
      <c r="AS38" s="246">
        <v>0.48</v>
      </c>
    </row>
    <row r="39" spans="1:45">
      <c r="A39" s="2"/>
      <c r="B39" s="91" t="s">
        <v>46</v>
      </c>
      <c r="C39" s="92">
        <v>1.52</v>
      </c>
      <c r="D39" s="92">
        <v>1.59</v>
      </c>
      <c r="E39" s="92">
        <v>1.71</v>
      </c>
      <c r="F39" s="92">
        <v>1.59</v>
      </c>
      <c r="G39" s="92">
        <v>1.42</v>
      </c>
      <c r="H39" s="92">
        <v>0.85</v>
      </c>
      <c r="I39" s="92">
        <v>0.45</v>
      </c>
      <c r="J39" s="92">
        <v>0.45</v>
      </c>
      <c r="K39" s="92">
        <f>K38</f>
        <v>0.28000000000000003</v>
      </c>
      <c r="L39" s="93">
        <v>0.32</v>
      </c>
      <c r="M39" s="92">
        <v>0.1</v>
      </c>
      <c r="N39" s="92">
        <v>0.13</v>
      </c>
      <c r="O39" s="92">
        <v>0.12</v>
      </c>
      <c r="P39" s="216">
        <f>IFERROR(J39-SUM(M39:O39),0)</f>
        <v>0.10000000000000003</v>
      </c>
      <c r="Q39" s="92">
        <v>0.12</v>
      </c>
      <c r="R39" s="92">
        <v>0.1</v>
      </c>
      <c r="S39" s="92">
        <v>0.12</v>
      </c>
      <c r="T39" s="216">
        <f>IFERROR(I39-SUM(Q39:S39),0)</f>
        <v>0.11000000000000004</v>
      </c>
      <c r="U39" s="92">
        <v>0.1</v>
      </c>
      <c r="V39" s="92">
        <v>0.25</v>
      </c>
      <c r="W39" s="92">
        <v>0.28000000000000003</v>
      </c>
      <c r="X39" s="216">
        <f>IFERROR(H39-SUM(U39:W39),0)</f>
        <v>0.21999999999999997</v>
      </c>
      <c r="Y39" s="216">
        <v>0.28999999999999998</v>
      </c>
      <c r="Z39" s="216">
        <v>0.42</v>
      </c>
      <c r="AA39" s="216">
        <v>0.39</v>
      </c>
      <c r="AB39" s="216">
        <f>IFERROR(G39-SUM(Y39:AA39),0)</f>
        <v>0.31999999999999984</v>
      </c>
      <c r="AC39" s="216">
        <v>0.39</v>
      </c>
      <c r="AD39" s="216">
        <v>0.4</v>
      </c>
      <c r="AE39" s="216">
        <v>0.41</v>
      </c>
      <c r="AF39" s="216">
        <f>IFERROR(F39-SUM(AC39:AE39),0)</f>
        <v>0.39000000000000012</v>
      </c>
      <c r="AG39" s="216">
        <v>0.33</v>
      </c>
      <c r="AH39" s="216">
        <v>0.49</v>
      </c>
      <c r="AI39" s="216">
        <v>0.5</v>
      </c>
      <c r="AJ39" s="216">
        <f>IFERROR(E39-SUM(AG39:AI39),0)</f>
        <v>0.3899999999999999</v>
      </c>
      <c r="AK39" s="216">
        <v>0.31</v>
      </c>
      <c r="AL39" s="216">
        <v>0.44</v>
      </c>
      <c r="AM39" s="216">
        <v>0.38</v>
      </c>
      <c r="AN39" s="216">
        <f>IFERROR(D39-SUM(AK39:AM39),0)</f>
        <v>0.46000000000000019</v>
      </c>
      <c r="AO39" s="216">
        <v>0.3</v>
      </c>
      <c r="AP39" s="216">
        <v>0.44</v>
      </c>
      <c r="AQ39" s="216">
        <v>0.38</v>
      </c>
      <c r="AR39" s="285">
        <f>IFERROR(C39-SUM(AO39:AQ39),0)</f>
        <v>0.39999999999999991</v>
      </c>
      <c r="AS39" s="246">
        <v>0.48</v>
      </c>
    </row>
    <row r="40" spans="1:45">
      <c r="A40" s="2"/>
      <c r="B40" s="91"/>
      <c r="C40" s="92"/>
      <c r="D40" s="92"/>
      <c r="E40" s="92"/>
      <c r="F40" s="92"/>
      <c r="G40" s="92"/>
      <c r="H40" s="92"/>
      <c r="I40" s="92"/>
      <c r="J40" s="94"/>
      <c r="K40" s="94"/>
      <c r="L40" s="95"/>
      <c r="M40" s="92"/>
      <c r="N40" s="92"/>
      <c r="O40" s="92"/>
      <c r="P40" s="217"/>
      <c r="Q40" s="92"/>
      <c r="R40" s="92"/>
      <c r="S40" s="92"/>
      <c r="T40" s="217"/>
      <c r="U40" s="92"/>
      <c r="V40" s="92"/>
      <c r="W40" s="92"/>
      <c r="X40" s="92"/>
      <c r="Y40" s="92"/>
      <c r="Z40" s="92"/>
      <c r="AA40" s="92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86"/>
      <c r="AS40" s="254"/>
    </row>
    <row r="41" spans="1:45">
      <c r="A41" s="2"/>
      <c r="B41" s="91" t="s">
        <v>9</v>
      </c>
      <c r="C41" s="92"/>
      <c r="D41" s="92"/>
      <c r="E41" s="92"/>
      <c r="F41" s="92"/>
      <c r="G41" s="92"/>
      <c r="H41" s="92"/>
      <c r="I41" s="92"/>
      <c r="J41" s="94"/>
      <c r="K41" s="94"/>
      <c r="L41" s="95"/>
      <c r="M41" s="92"/>
      <c r="N41" s="92"/>
      <c r="O41" s="92"/>
      <c r="P41" s="217"/>
      <c r="Q41" s="92"/>
      <c r="R41" s="92"/>
      <c r="S41" s="92"/>
      <c r="T41" s="217"/>
      <c r="U41" s="92"/>
      <c r="V41" s="92"/>
      <c r="W41" s="92"/>
      <c r="X41" s="92"/>
      <c r="Y41" s="92"/>
      <c r="Z41" s="92"/>
      <c r="AA41" s="92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86"/>
      <c r="AS41" s="254"/>
    </row>
    <row r="42" spans="1:45">
      <c r="A42" s="2"/>
      <c r="B42" s="91" t="s">
        <v>45</v>
      </c>
      <c r="C42" s="92">
        <v>1.52</v>
      </c>
      <c r="D42" s="92">
        <v>1.59</v>
      </c>
      <c r="E42" s="92">
        <v>1.71</v>
      </c>
      <c r="F42" s="92">
        <v>1.59</v>
      </c>
      <c r="G42" s="92">
        <v>1.42</v>
      </c>
      <c r="H42" s="92">
        <v>0.85</v>
      </c>
      <c r="I42" s="92">
        <v>0.45</v>
      </c>
      <c r="J42" s="92">
        <v>0.45</v>
      </c>
      <c r="K42" s="92">
        <f>K38</f>
        <v>0.28000000000000003</v>
      </c>
      <c r="L42" s="93">
        <v>0.32</v>
      </c>
      <c r="M42" s="92">
        <v>0.1</v>
      </c>
      <c r="N42" s="92">
        <v>0.13</v>
      </c>
      <c r="O42" s="92">
        <v>0.12</v>
      </c>
      <c r="P42" s="216">
        <f>IFERROR(J42-SUM(M42:O42),0)</f>
        <v>0.10000000000000003</v>
      </c>
      <c r="Q42" s="92">
        <v>0.12</v>
      </c>
      <c r="R42" s="92">
        <v>0.1</v>
      </c>
      <c r="S42" s="92">
        <v>0.12</v>
      </c>
      <c r="T42" s="216">
        <f>IFERROR(I42-SUM(Q42:S42),0)</f>
        <v>0.11000000000000004</v>
      </c>
      <c r="U42" s="92">
        <v>0.1</v>
      </c>
      <c r="V42" s="92">
        <v>0.25</v>
      </c>
      <c r="W42" s="92">
        <v>0.28000000000000003</v>
      </c>
      <c r="X42" s="216">
        <f>IFERROR(H42-SUM(U42:W42),0)</f>
        <v>0.21999999999999997</v>
      </c>
      <c r="Y42" s="216">
        <v>0.28999999999999998</v>
      </c>
      <c r="Z42" s="216">
        <v>0.42</v>
      </c>
      <c r="AA42" s="216">
        <v>0.39</v>
      </c>
      <c r="AB42" s="216">
        <f>IFERROR(G42-SUM(Y42:AA42),0)</f>
        <v>0.31999999999999984</v>
      </c>
      <c r="AC42" s="216">
        <v>0.39</v>
      </c>
      <c r="AD42" s="216">
        <v>0.4</v>
      </c>
      <c r="AE42" s="216">
        <v>0.41</v>
      </c>
      <c r="AF42" s="216">
        <f>IFERROR(F42-SUM(AC42:AE42),0)</f>
        <v>0.39000000000000012</v>
      </c>
      <c r="AG42" s="216">
        <v>0.33</v>
      </c>
      <c r="AH42" s="216">
        <v>0.49</v>
      </c>
      <c r="AI42" s="216">
        <v>0.5</v>
      </c>
      <c r="AJ42" s="216">
        <f>IFERROR(E42-SUM(AG42:AI42),0)</f>
        <v>0.3899999999999999</v>
      </c>
      <c r="AK42" s="216">
        <v>0.31</v>
      </c>
      <c r="AL42" s="216">
        <v>0.44</v>
      </c>
      <c r="AM42" s="216">
        <v>0.38</v>
      </c>
      <c r="AN42" s="216">
        <f>IFERROR(D42-SUM(AK42:AM42),0)</f>
        <v>0.46000000000000019</v>
      </c>
      <c r="AO42" s="216">
        <v>0.3</v>
      </c>
      <c r="AP42" s="216">
        <v>0.44</v>
      </c>
      <c r="AQ42" s="216">
        <v>0.38</v>
      </c>
      <c r="AR42" s="285">
        <f>IFERROR(C42-SUM(AO42:AQ42),0)</f>
        <v>0.39999999999999991</v>
      </c>
      <c r="AS42" s="246">
        <v>0.48</v>
      </c>
    </row>
    <row r="43" spans="1:45">
      <c r="A43" s="2"/>
      <c r="B43" s="91" t="s">
        <v>46</v>
      </c>
      <c r="C43" s="92">
        <v>1.52</v>
      </c>
      <c r="D43" s="92">
        <v>1.59</v>
      </c>
      <c r="E43" s="92">
        <v>1.71</v>
      </c>
      <c r="F43" s="92">
        <v>1.59</v>
      </c>
      <c r="G43" s="92">
        <v>1.42</v>
      </c>
      <c r="H43" s="92">
        <v>0.85</v>
      </c>
      <c r="I43" s="92">
        <v>0.45</v>
      </c>
      <c r="J43" s="92">
        <v>0.45</v>
      </c>
      <c r="K43" s="92">
        <f>K38</f>
        <v>0.28000000000000003</v>
      </c>
      <c r="L43" s="93">
        <v>0.32</v>
      </c>
      <c r="M43" s="92">
        <v>0.1</v>
      </c>
      <c r="N43" s="92">
        <v>0.13</v>
      </c>
      <c r="O43" s="92">
        <v>0.12</v>
      </c>
      <c r="P43" s="216">
        <f>IFERROR(J43-SUM(M43:O43),0)</f>
        <v>0.10000000000000003</v>
      </c>
      <c r="Q43" s="92">
        <v>0.12</v>
      </c>
      <c r="R43" s="92">
        <v>0.1</v>
      </c>
      <c r="S43" s="92">
        <v>0.12</v>
      </c>
      <c r="T43" s="216">
        <f>IFERROR(I43-SUM(Q43:S43),0)</f>
        <v>0.11000000000000004</v>
      </c>
      <c r="U43" s="92">
        <v>0.1</v>
      </c>
      <c r="V43" s="92">
        <v>0.25</v>
      </c>
      <c r="W43" s="92">
        <v>0.28000000000000003</v>
      </c>
      <c r="X43" s="216">
        <f>IFERROR(H43-SUM(U43:W43),0)</f>
        <v>0.21999999999999997</v>
      </c>
      <c r="Y43" s="216">
        <v>0.28999999999999998</v>
      </c>
      <c r="Z43" s="216">
        <v>0.42</v>
      </c>
      <c r="AA43" s="216">
        <v>0.39</v>
      </c>
      <c r="AB43" s="216">
        <f>IFERROR(G43-SUM(Y43:AA43),0)</f>
        <v>0.31999999999999984</v>
      </c>
      <c r="AC43" s="216">
        <v>0.39</v>
      </c>
      <c r="AD43" s="216">
        <v>0.4</v>
      </c>
      <c r="AE43" s="216">
        <v>0.41</v>
      </c>
      <c r="AF43" s="216">
        <f>IFERROR(F43-SUM(AC43:AE43),0)</f>
        <v>0.39000000000000012</v>
      </c>
      <c r="AG43" s="216">
        <v>0.33</v>
      </c>
      <c r="AH43" s="216">
        <v>0.49</v>
      </c>
      <c r="AI43" s="216">
        <v>0.5</v>
      </c>
      <c r="AJ43" s="216">
        <f>IFERROR(E43-SUM(AG43:AI43),0)</f>
        <v>0.3899999999999999</v>
      </c>
      <c r="AK43" s="216">
        <v>0.31</v>
      </c>
      <c r="AL43" s="216">
        <v>0.44</v>
      </c>
      <c r="AM43" s="216">
        <v>0.38</v>
      </c>
      <c r="AN43" s="216">
        <f>IFERROR(D43-SUM(AK43:AM43),0)</f>
        <v>0.46000000000000019</v>
      </c>
      <c r="AO43" s="216">
        <v>0.3</v>
      </c>
      <c r="AP43" s="216">
        <v>0.44</v>
      </c>
      <c r="AQ43" s="216">
        <v>0.38</v>
      </c>
      <c r="AR43" s="285">
        <f>IFERROR(C43-SUM(AO43:AQ43),0)</f>
        <v>0.39999999999999991</v>
      </c>
      <c r="AS43" s="246">
        <v>0.48</v>
      </c>
    </row>
    <row r="44" spans="1:45">
      <c r="A44" s="2"/>
      <c r="B44" s="91"/>
      <c r="C44" s="245"/>
      <c r="D44" s="245"/>
      <c r="E44" s="245"/>
      <c r="F44" s="245"/>
      <c r="G44" s="245"/>
      <c r="H44" s="245"/>
      <c r="I44" s="92"/>
      <c r="J44" s="92"/>
      <c r="K44" s="92"/>
      <c r="L44" s="96"/>
      <c r="M44" s="65"/>
      <c r="N44" s="35"/>
      <c r="O44" s="35"/>
      <c r="P44" s="36"/>
      <c r="Q44" s="15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79"/>
      <c r="AS44" s="19"/>
    </row>
    <row r="45" spans="1:45" ht="23.25" customHeight="1" thickBot="1">
      <c r="A45" s="2"/>
      <c r="B45" s="259" t="s">
        <v>120</v>
      </c>
      <c r="C45" s="260"/>
      <c r="D45" s="260"/>
      <c r="E45" s="260"/>
      <c r="F45" s="260"/>
      <c r="G45" s="260"/>
      <c r="H45" s="260"/>
      <c r="I45" s="260"/>
      <c r="J45" s="260"/>
      <c r="K45" s="260"/>
      <c r="L45" s="97"/>
      <c r="M45" s="66"/>
      <c r="N45" s="38"/>
      <c r="O45" s="38"/>
      <c r="P45" s="37"/>
      <c r="Q45" s="194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6"/>
    </row>
  </sheetData>
  <mergeCells count="3">
    <mergeCell ref="B45:K45"/>
    <mergeCell ref="C2:L2"/>
    <mergeCell ref="M2:AS2"/>
  </mergeCells>
  <phoneticPr fontId="23" type="noConversion"/>
  <pageMargins left="0.27559055118110237" right="0.27559055118110237" top="0.74803149606299213" bottom="0.74803149606299213" header="0.31496062992125984" footer="0.31496062992125984"/>
  <pageSetup paperSize="9" scale="4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59"/>
  <sheetViews>
    <sheetView showGridLines="0" zoomScaleNormal="100" workbookViewId="0">
      <pane xSplit="2" ySplit="3" topLeftCell="AO4" activePane="bottomRight" state="frozen"/>
      <selection pane="topRight" activeCell="C1" sqref="C1"/>
      <selection pane="bottomLeft" activeCell="A5" sqref="A5"/>
      <selection pane="bottomRight" activeCell="AS57" sqref="AS57"/>
    </sheetView>
  </sheetViews>
  <sheetFormatPr defaultColWidth="9" defaultRowHeight="13.8"/>
  <cols>
    <col min="1" max="1" width="3.3984375" style="5" customWidth="1"/>
    <col min="2" max="2" width="31.59765625" style="5" customWidth="1"/>
    <col min="3" max="3" width="15.5" style="5" customWidth="1"/>
    <col min="4" max="4" width="13.8984375" style="5" customWidth="1"/>
    <col min="5" max="5" width="12.19921875" style="5" customWidth="1"/>
    <col min="6" max="6" width="11.59765625" style="5" customWidth="1"/>
    <col min="7" max="7" width="10.5" style="5" customWidth="1"/>
    <col min="8" max="8" width="11.3984375" style="5" customWidth="1"/>
    <col min="9" max="9" width="10.3984375" style="5" customWidth="1"/>
    <col min="10" max="21" width="10.59765625" style="5" customWidth="1"/>
    <col min="22" max="16384" width="9" style="5"/>
  </cols>
  <sheetData>
    <row r="1" spans="1:45" ht="59.25" customHeight="1" thickBot="1">
      <c r="A1" s="2"/>
      <c r="B1" s="150"/>
      <c r="C1" s="150"/>
      <c r="D1" s="150"/>
      <c r="E1" s="150"/>
      <c r="F1" s="150"/>
      <c r="G1" s="150"/>
      <c r="H1" s="150"/>
      <c r="I1" s="150"/>
      <c r="J1" s="154"/>
      <c r="K1" s="154"/>
      <c r="L1" s="154"/>
      <c r="M1" s="154"/>
      <c r="N1" s="154"/>
      <c r="O1" s="2"/>
      <c r="P1" s="2"/>
      <c r="Q1" s="149"/>
      <c r="R1" s="149"/>
      <c r="S1" s="149"/>
      <c r="T1" s="149"/>
      <c r="U1" s="149"/>
      <c r="V1" s="240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 s="269"/>
    </row>
    <row r="2" spans="1:45" ht="24.9" customHeight="1" thickBot="1">
      <c r="A2" s="2"/>
      <c r="B2" s="68" t="s">
        <v>49</v>
      </c>
      <c r="C2" s="265" t="s">
        <v>76</v>
      </c>
      <c r="D2" s="266"/>
      <c r="E2" s="266"/>
      <c r="F2" s="266"/>
      <c r="G2" s="266"/>
      <c r="H2" s="266"/>
      <c r="I2" s="266"/>
      <c r="J2" s="266"/>
      <c r="K2" s="266"/>
      <c r="L2" s="267"/>
      <c r="M2" s="265" t="s">
        <v>1</v>
      </c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7"/>
    </row>
    <row r="3" spans="1:45" ht="24.9" customHeight="1" thickBot="1">
      <c r="A3" s="2"/>
      <c r="B3" s="156" t="s">
        <v>47</v>
      </c>
      <c r="C3" s="155">
        <v>2025</v>
      </c>
      <c r="D3" s="155">
        <v>2024</v>
      </c>
      <c r="E3" s="155">
        <v>2023</v>
      </c>
      <c r="F3" s="155">
        <v>2022</v>
      </c>
      <c r="G3" s="155">
        <v>2021</v>
      </c>
      <c r="H3" s="155">
        <v>2020</v>
      </c>
      <c r="I3" s="155">
        <v>2019</v>
      </c>
      <c r="J3" s="155">
        <v>2018</v>
      </c>
      <c r="K3" s="155" t="s">
        <v>113</v>
      </c>
      <c r="L3" s="255">
        <v>2016</v>
      </c>
      <c r="M3" s="248" t="s">
        <v>48</v>
      </c>
      <c r="N3" s="155" t="s">
        <v>26</v>
      </c>
      <c r="O3" s="155" t="s">
        <v>25</v>
      </c>
      <c r="P3" s="155" t="s">
        <v>24</v>
      </c>
      <c r="Q3" s="155" t="s">
        <v>27</v>
      </c>
      <c r="R3" s="155" t="s">
        <v>28</v>
      </c>
      <c r="S3" s="155" t="s">
        <v>114</v>
      </c>
      <c r="T3" s="155" t="s">
        <v>115</v>
      </c>
      <c r="U3" s="155" t="s">
        <v>116</v>
      </c>
      <c r="V3" s="155" t="s">
        <v>131</v>
      </c>
      <c r="W3" s="155" t="s">
        <v>132</v>
      </c>
      <c r="X3" s="155" t="s">
        <v>133</v>
      </c>
      <c r="Y3" s="155" t="s">
        <v>138</v>
      </c>
      <c r="Z3" s="155" t="s">
        <v>140</v>
      </c>
      <c r="AA3" s="155" t="s">
        <v>141</v>
      </c>
      <c r="AB3" s="155" t="s">
        <v>142</v>
      </c>
      <c r="AC3" s="155" t="s">
        <v>143</v>
      </c>
      <c r="AD3" s="155" t="s">
        <v>144</v>
      </c>
      <c r="AE3" s="155" t="s">
        <v>145</v>
      </c>
      <c r="AF3" s="155" t="s">
        <v>146</v>
      </c>
      <c r="AG3" s="155" t="s">
        <v>147</v>
      </c>
      <c r="AH3" s="155" t="s">
        <v>148</v>
      </c>
      <c r="AI3" s="155" t="s">
        <v>149</v>
      </c>
      <c r="AJ3" s="155" t="s">
        <v>150</v>
      </c>
      <c r="AK3" s="155" t="s">
        <v>151</v>
      </c>
      <c r="AL3" s="155" t="s">
        <v>152</v>
      </c>
      <c r="AM3" s="155" t="s">
        <v>153</v>
      </c>
      <c r="AN3" s="70" t="s">
        <v>154</v>
      </c>
      <c r="AO3" s="70" t="s">
        <v>155</v>
      </c>
      <c r="AP3" s="70" t="s">
        <v>156</v>
      </c>
      <c r="AQ3" s="70" t="s">
        <v>163</v>
      </c>
      <c r="AR3" s="70" t="s">
        <v>164</v>
      </c>
      <c r="AS3" s="253" t="s">
        <v>167</v>
      </c>
    </row>
    <row r="4" spans="1:45" ht="24.9" customHeight="1">
      <c r="A4" s="2"/>
      <c r="B4" s="160" t="s">
        <v>77</v>
      </c>
      <c r="C4" s="197"/>
      <c r="D4" s="197"/>
      <c r="E4" s="197"/>
      <c r="F4" s="197"/>
      <c r="G4" s="197"/>
      <c r="H4" s="197"/>
      <c r="I4" s="197"/>
      <c r="J4" s="161"/>
      <c r="K4" s="161"/>
      <c r="L4" s="162"/>
      <c r="M4" s="11"/>
      <c r="N4" s="11"/>
      <c r="O4" s="11"/>
      <c r="P4" s="11"/>
      <c r="Q4" s="11"/>
      <c r="R4" s="11"/>
      <c r="S4" s="11"/>
      <c r="T4" s="42"/>
      <c r="U4" s="237"/>
      <c r="V4" s="237"/>
      <c r="W4" s="237"/>
      <c r="X4" s="237"/>
      <c r="Y4" s="237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0"/>
    </row>
    <row r="5" spans="1:45" ht="24.9" customHeight="1">
      <c r="A5" s="2"/>
      <c r="B5" s="163" t="s">
        <v>78</v>
      </c>
      <c r="C5" s="48">
        <v>247575</v>
      </c>
      <c r="D5" s="48">
        <v>258630</v>
      </c>
      <c r="E5" s="48">
        <v>277255</v>
      </c>
      <c r="F5" s="48">
        <v>256427</v>
      </c>
      <c r="G5" s="48">
        <v>231455</v>
      </c>
      <c r="H5" s="48">
        <v>138343</v>
      </c>
      <c r="I5" s="48">
        <v>74236</v>
      </c>
      <c r="J5" s="48">
        <v>74301</v>
      </c>
      <c r="K5" s="48">
        <v>44116</v>
      </c>
      <c r="L5" s="164">
        <v>43065</v>
      </c>
      <c r="M5" s="48">
        <v>16372</v>
      </c>
      <c r="N5" s="48">
        <v>20707</v>
      </c>
      <c r="O5" s="48">
        <v>20180</v>
      </c>
      <c r="P5" s="48">
        <f>J5-SUM(M5:O5)</f>
        <v>17042</v>
      </c>
      <c r="Q5" s="48">
        <v>19296</v>
      </c>
      <c r="R5" s="48">
        <v>16833</v>
      </c>
      <c r="S5" s="48">
        <v>19498</v>
      </c>
      <c r="T5" s="48">
        <f>I5-SUM(Q5:S5)</f>
        <v>18609</v>
      </c>
      <c r="U5" s="48">
        <v>15696</v>
      </c>
      <c r="V5" s="48">
        <v>40472</v>
      </c>
      <c r="W5" s="48">
        <v>45180</v>
      </c>
      <c r="X5" s="48">
        <f>H5-SUM(U5:W5)</f>
        <v>36995</v>
      </c>
      <c r="Y5" s="48">
        <v>46726</v>
      </c>
      <c r="Z5" s="48">
        <f>115624-Y5</f>
        <v>68898</v>
      </c>
      <c r="AA5" s="48">
        <f>178913-Z5-Y5</f>
        <v>63289</v>
      </c>
      <c r="AB5" s="48">
        <f>G5-SUM(Y5:AA5)</f>
        <v>52542</v>
      </c>
      <c r="AC5" s="48">
        <v>62456</v>
      </c>
      <c r="AD5" s="48">
        <f>127002-AC5</f>
        <v>64546</v>
      </c>
      <c r="AE5" s="48">
        <f>193476-AD5-AC5</f>
        <v>66474</v>
      </c>
      <c r="AF5" s="48">
        <f>F5-SUM(AC5:AE5)</f>
        <v>62951</v>
      </c>
      <c r="AG5" s="48">
        <v>53321</v>
      </c>
      <c r="AH5" s="48">
        <f>133146-AG5</f>
        <v>79825</v>
      </c>
      <c r="AI5" s="48">
        <f>214440-AH5-AG5</f>
        <v>81294</v>
      </c>
      <c r="AJ5" s="48">
        <f>E5-SUM(AG5:AI5)</f>
        <v>62815</v>
      </c>
      <c r="AK5" s="48">
        <v>50527</v>
      </c>
      <c r="AL5" s="48">
        <f>121380-AK5</f>
        <v>70853</v>
      </c>
      <c r="AM5" s="48">
        <f>183811-AL5-AK5</f>
        <v>62431</v>
      </c>
      <c r="AN5" s="48">
        <f>D5-SUM(AK5:AM5)</f>
        <v>74819</v>
      </c>
      <c r="AO5" s="48">
        <v>49084</v>
      </c>
      <c r="AP5" s="48">
        <f>120975-AO5</f>
        <v>71891</v>
      </c>
      <c r="AQ5" s="48">
        <f>182494-AP5-AO5</f>
        <v>61519</v>
      </c>
      <c r="AR5" s="48">
        <f>C5-SUM(AO5:AQ5)</f>
        <v>65081</v>
      </c>
      <c r="AS5" s="164">
        <v>77284</v>
      </c>
    </row>
    <row r="6" spans="1:45" ht="24.9" customHeight="1">
      <c r="A6" s="2"/>
      <c r="B6" s="165" t="s">
        <v>79</v>
      </c>
      <c r="C6" s="50">
        <f>SUM(C7:C18)</f>
        <v>-61163</v>
      </c>
      <c r="D6" s="50">
        <f>SUM(D7:D18)</f>
        <v>-94363</v>
      </c>
      <c r="E6" s="50">
        <f>SUM(E7:E18)</f>
        <v>-41343</v>
      </c>
      <c r="F6" s="50">
        <f>SUM(F7:F18)</f>
        <v>-154957</v>
      </c>
      <c r="G6" s="50">
        <f>SUM(G7:G18)</f>
        <v>-310941</v>
      </c>
      <c r="H6" s="50">
        <f t="shared" ref="H6:Z6" si="0">SUM(H7:H18)</f>
        <v>14525</v>
      </c>
      <c r="I6" s="50">
        <f t="shared" si="0"/>
        <v>-44346</v>
      </c>
      <c r="J6" s="50">
        <f t="shared" si="0"/>
        <v>-37912</v>
      </c>
      <c r="K6" s="50">
        <f t="shared" si="0"/>
        <v>-114453</v>
      </c>
      <c r="L6" s="166">
        <f t="shared" si="0"/>
        <v>-79257</v>
      </c>
      <c r="M6" s="50">
        <f t="shared" si="0"/>
        <v>-13151</v>
      </c>
      <c r="N6" s="50">
        <f t="shared" si="0"/>
        <v>27705</v>
      </c>
      <c r="O6" s="50">
        <f t="shared" si="0"/>
        <v>-44871</v>
      </c>
      <c r="P6" s="50">
        <f t="shared" si="0"/>
        <v>-7595</v>
      </c>
      <c r="Q6" s="50">
        <f t="shared" si="0"/>
        <v>-10165</v>
      </c>
      <c r="R6" s="50">
        <f t="shared" si="0"/>
        <v>3572</v>
      </c>
      <c r="S6" s="50">
        <f t="shared" si="0"/>
        <v>-18049</v>
      </c>
      <c r="T6" s="50">
        <f t="shared" si="0"/>
        <v>-19704</v>
      </c>
      <c r="U6" s="50">
        <f t="shared" si="0"/>
        <v>30081</v>
      </c>
      <c r="V6" s="50">
        <f t="shared" si="0"/>
        <v>40630</v>
      </c>
      <c r="W6" s="50">
        <f t="shared" si="0"/>
        <v>-32449</v>
      </c>
      <c r="X6" s="50">
        <f t="shared" si="0"/>
        <v>-23737</v>
      </c>
      <c r="Y6" s="50">
        <f t="shared" si="0"/>
        <v>-48907</v>
      </c>
      <c r="Z6" s="252">
        <f t="shared" si="0"/>
        <v>-41129</v>
      </c>
      <c r="AA6" s="252">
        <f t="shared" ref="AA6" si="1">SUM(AA7:AA18)</f>
        <v>-87287</v>
      </c>
      <c r="AB6" s="252">
        <f>SUM(AB7:AB18)</f>
        <v>-133618</v>
      </c>
      <c r="AC6" s="252">
        <f t="shared" ref="AC6:AD6" si="2">SUM(AC7:AC18)</f>
        <v>-31737</v>
      </c>
      <c r="AD6" s="252">
        <f t="shared" si="2"/>
        <v>37371</v>
      </c>
      <c r="AE6" s="252">
        <f t="shared" ref="AE6:AK6" si="3">SUM(AE7:AE18)</f>
        <v>-65917</v>
      </c>
      <c r="AF6" s="252">
        <f t="shared" si="3"/>
        <v>-94674</v>
      </c>
      <c r="AG6" s="252">
        <f t="shared" si="3"/>
        <v>118171</v>
      </c>
      <c r="AH6" s="252">
        <f t="shared" si="3"/>
        <v>-8033</v>
      </c>
      <c r="AI6" s="252">
        <f t="shared" si="3"/>
        <v>-22684</v>
      </c>
      <c r="AJ6" s="252">
        <f t="shared" si="3"/>
        <v>-128797</v>
      </c>
      <c r="AK6" s="252">
        <f t="shared" si="3"/>
        <v>132698</v>
      </c>
      <c r="AL6" s="252">
        <f t="shared" ref="AL6:AM6" si="4">SUM(AL7:AL18)</f>
        <v>-9800</v>
      </c>
      <c r="AM6" s="252">
        <f t="shared" si="4"/>
        <v>-117672</v>
      </c>
      <c r="AN6" s="252">
        <f t="shared" ref="AN6:AO6" si="5">SUM(AN7:AN18)</f>
        <v>-99589</v>
      </c>
      <c r="AO6" s="252">
        <f t="shared" si="5"/>
        <v>76862</v>
      </c>
      <c r="AP6" s="252">
        <f t="shared" ref="AP6:AQ6" si="6">SUM(AP7:AP18)</f>
        <v>58077</v>
      </c>
      <c r="AQ6" s="252">
        <f t="shared" si="6"/>
        <v>-54297</v>
      </c>
      <c r="AR6" s="252">
        <f>SUM(AR7:AR18)</f>
        <v>-141805</v>
      </c>
      <c r="AS6" s="249">
        <f>SUM(AS7:AS18)</f>
        <v>101526</v>
      </c>
    </row>
    <row r="7" spans="1:45" ht="24.9" customHeight="1">
      <c r="A7" s="2"/>
      <c r="B7" s="119" t="s">
        <v>21</v>
      </c>
      <c r="C7" s="159">
        <v>56860</v>
      </c>
      <c r="D7" s="159">
        <v>54284</v>
      </c>
      <c r="E7" s="159">
        <v>43504</v>
      </c>
      <c r="F7" s="159">
        <v>32849</v>
      </c>
      <c r="G7" s="159">
        <v>26177</v>
      </c>
      <c r="H7" s="159">
        <v>23505</v>
      </c>
      <c r="I7" s="159">
        <v>20084</v>
      </c>
      <c r="J7" s="159">
        <v>8666</v>
      </c>
      <c r="K7" s="159">
        <v>6706</v>
      </c>
      <c r="L7" s="167">
        <v>4901</v>
      </c>
      <c r="M7" s="159">
        <v>2070</v>
      </c>
      <c r="N7" s="159">
        <v>2128</v>
      </c>
      <c r="O7" s="159">
        <v>2150</v>
      </c>
      <c r="P7" s="159">
        <f>J7-SUM(M7:O7)</f>
        <v>2318</v>
      </c>
      <c r="Q7" s="159">
        <v>4176</v>
      </c>
      <c r="R7" s="159">
        <v>4722</v>
      </c>
      <c r="S7" s="159">
        <v>4990</v>
      </c>
      <c r="T7" s="159">
        <f t="shared" ref="T7:T18" si="7">I7-SUM(Q7:S7)</f>
        <v>6196</v>
      </c>
      <c r="U7" s="159">
        <v>5655</v>
      </c>
      <c r="V7" s="159">
        <v>5676</v>
      </c>
      <c r="W7" s="159">
        <v>6054</v>
      </c>
      <c r="X7" s="159">
        <f>H7-SUM(U7:W7)</f>
        <v>6120</v>
      </c>
      <c r="Y7" s="159">
        <v>6142</v>
      </c>
      <c r="Z7" s="159">
        <f>12535-Y7</f>
        <v>6393</v>
      </c>
      <c r="AA7" s="159">
        <f>19340-Z7-Y7</f>
        <v>6805</v>
      </c>
      <c r="AB7" s="159">
        <f t="shared" ref="AB7:AB18" si="8">G7-SUM(Y7:AA7)</f>
        <v>6837</v>
      </c>
      <c r="AC7" s="159">
        <v>7388</v>
      </c>
      <c r="AD7" s="159">
        <f>15318-AC7</f>
        <v>7930</v>
      </c>
      <c r="AE7" s="159">
        <f>23703-AD7-AC7</f>
        <v>8385</v>
      </c>
      <c r="AF7" s="159">
        <f t="shared" ref="AF7:AF18" si="9">F7-SUM(AC7:AE7)</f>
        <v>9146</v>
      </c>
      <c r="AG7" s="159">
        <v>9976</v>
      </c>
      <c r="AH7" s="159">
        <f>20424-AG7</f>
        <v>10448</v>
      </c>
      <c r="AI7" s="159">
        <f>31615-AH7-AG7</f>
        <v>11191</v>
      </c>
      <c r="AJ7" s="159">
        <f t="shared" ref="AJ7:AJ18" si="10">E7-SUM(AG7:AI7)</f>
        <v>11889</v>
      </c>
      <c r="AK7" s="159">
        <v>13027</v>
      </c>
      <c r="AL7" s="159">
        <f>27181-AK7</f>
        <v>14154</v>
      </c>
      <c r="AM7" s="159">
        <f>40832-AL7-AK7</f>
        <v>13651</v>
      </c>
      <c r="AN7" s="159">
        <f t="shared" ref="AN7:AN18" si="11">D7-SUM(AK7:AM7)</f>
        <v>13452</v>
      </c>
      <c r="AO7" s="159">
        <v>14536</v>
      </c>
      <c r="AP7" s="159">
        <f>29210-AO7</f>
        <v>14674</v>
      </c>
      <c r="AQ7" s="159">
        <f>41943-AP7-AO7</f>
        <v>12733</v>
      </c>
      <c r="AR7" s="287">
        <f t="shared" ref="AR7:AS18" si="12">C7-SUM(AO7:AQ7)</f>
        <v>14917</v>
      </c>
      <c r="AS7" s="167">
        <v>16461</v>
      </c>
    </row>
    <row r="8" spans="1:45" ht="24.9" customHeight="1">
      <c r="A8" s="1"/>
      <c r="B8" s="119" t="s">
        <v>80</v>
      </c>
      <c r="C8" s="159">
        <v>-156</v>
      </c>
      <c r="D8" s="159">
        <v>2149</v>
      </c>
      <c r="E8" s="159">
        <v>-4941</v>
      </c>
      <c r="F8" s="159">
        <v>-863</v>
      </c>
      <c r="G8" s="159">
        <v>-948</v>
      </c>
      <c r="H8" s="159">
        <v>3208</v>
      </c>
      <c r="I8" s="159">
        <v>-94</v>
      </c>
      <c r="J8" s="159">
        <v>100</v>
      </c>
      <c r="K8" s="159">
        <v>-105</v>
      </c>
      <c r="L8" s="167">
        <v>33</v>
      </c>
      <c r="M8" s="159">
        <v>163</v>
      </c>
      <c r="N8" s="159">
        <v>82</v>
      </c>
      <c r="O8" s="159">
        <v>-82</v>
      </c>
      <c r="P8" s="159">
        <f t="shared" ref="P8:P18" si="13">J8-SUM(M8:O8)</f>
        <v>-63</v>
      </c>
      <c r="Q8" s="159">
        <v>80</v>
      </c>
      <c r="R8" s="159">
        <v>-116</v>
      </c>
      <c r="S8" s="159">
        <v>151</v>
      </c>
      <c r="T8" s="159">
        <f t="shared" si="7"/>
        <v>-209</v>
      </c>
      <c r="U8" s="159">
        <v>1174</v>
      </c>
      <c r="V8" s="159">
        <v>-1062</v>
      </c>
      <c r="W8" s="159">
        <v>75</v>
      </c>
      <c r="X8" s="159">
        <f t="shared" ref="X8:X18" si="14">H8-SUM(U8:W8)</f>
        <v>3021</v>
      </c>
      <c r="Y8" s="159">
        <v>169</v>
      </c>
      <c r="Z8" s="159">
        <f>-1068-Y8</f>
        <v>-1237</v>
      </c>
      <c r="AA8" s="159">
        <f>-376-Z8-Y8</f>
        <v>692</v>
      </c>
      <c r="AB8" s="159">
        <f t="shared" si="8"/>
        <v>-572</v>
      </c>
      <c r="AC8" s="159">
        <v>240</v>
      </c>
      <c r="AD8" s="159">
        <f>81-AC8</f>
        <v>-159</v>
      </c>
      <c r="AE8" s="159">
        <f>1259-AD8-AC8</f>
        <v>1178</v>
      </c>
      <c r="AF8" s="159">
        <f t="shared" si="9"/>
        <v>-2122</v>
      </c>
      <c r="AG8" s="159">
        <v>-321</v>
      </c>
      <c r="AH8" s="159">
        <f>-2724-AG8</f>
        <v>-2403</v>
      </c>
      <c r="AI8" s="159">
        <f>-876-AH8-AG8</f>
        <v>1848</v>
      </c>
      <c r="AJ8" s="159">
        <f t="shared" si="10"/>
        <v>-4065</v>
      </c>
      <c r="AK8" s="159">
        <v>-1079</v>
      </c>
      <c r="AL8" s="159">
        <f>779-AK8</f>
        <v>1858</v>
      </c>
      <c r="AM8" s="159">
        <f>2194-AL8-AK8</f>
        <v>1415</v>
      </c>
      <c r="AN8" s="159">
        <f t="shared" si="11"/>
        <v>-45</v>
      </c>
      <c r="AO8" s="159">
        <v>-1664</v>
      </c>
      <c r="AP8" s="159">
        <f>26-AO8</f>
        <v>1690</v>
      </c>
      <c r="AQ8" s="159">
        <f>2171-AP8-AO8</f>
        <v>2145</v>
      </c>
      <c r="AR8" s="287">
        <f t="shared" si="12"/>
        <v>-2327</v>
      </c>
      <c r="AS8" s="167">
        <v>2812</v>
      </c>
    </row>
    <row r="9" spans="1:45" ht="24.9" customHeight="1">
      <c r="A9" s="1"/>
      <c r="B9" s="119" t="s">
        <v>135</v>
      </c>
      <c r="C9" s="159">
        <v>123</v>
      </c>
      <c r="D9" s="159">
        <v>-14</v>
      </c>
      <c r="E9" s="159">
        <v>-236</v>
      </c>
      <c r="F9" s="159">
        <v>85</v>
      </c>
      <c r="G9" s="159">
        <v>304</v>
      </c>
      <c r="H9" s="159">
        <v>507</v>
      </c>
      <c r="I9" s="159">
        <v>216</v>
      </c>
      <c r="J9" s="159">
        <v>-210</v>
      </c>
      <c r="K9" s="159">
        <v>4575</v>
      </c>
      <c r="L9" s="167">
        <v>-4170</v>
      </c>
      <c r="M9" s="159">
        <v>539</v>
      </c>
      <c r="N9" s="159">
        <v>-848</v>
      </c>
      <c r="O9" s="159">
        <v>115</v>
      </c>
      <c r="P9" s="159">
        <f t="shared" si="13"/>
        <v>-16</v>
      </c>
      <c r="Q9" s="159">
        <v>30</v>
      </c>
      <c r="R9" s="159">
        <v>110</v>
      </c>
      <c r="S9" s="159">
        <v>-29</v>
      </c>
      <c r="T9" s="159">
        <f t="shared" si="7"/>
        <v>105</v>
      </c>
      <c r="U9" s="159">
        <v>-337</v>
      </c>
      <c r="V9" s="159">
        <v>435</v>
      </c>
      <c r="W9" s="159">
        <v>141</v>
      </c>
      <c r="X9" s="159">
        <f t="shared" si="14"/>
        <v>268</v>
      </c>
      <c r="Y9" s="159">
        <v>95</v>
      </c>
      <c r="Z9" s="159">
        <f>236-Y9</f>
        <v>141</v>
      </c>
      <c r="AA9" s="159">
        <f>262-Z9-Y9</f>
        <v>26</v>
      </c>
      <c r="AB9" s="159">
        <f t="shared" si="8"/>
        <v>42</v>
      </c>
      <c r="AC9" s="159">
        <v>-16</v>
      </c>
      <c r="AD9" s="159">
        <f>46-AC9</f>
        <v>62</v>
      </c>
      <c r="AE9" s="159">
        <f>44-AD9-AC9</f>
        <v>-2</v>
      </c>
      <c r="AF9" s="159">
        <f t="shared" si="9"/>
        <v>41</v>
      </c>
      <c r="AG9" s="159">
        <v>30</v>
      </c>
      <c r="AH9" s="159">
        <f>110-AG9</f>
        <v>80</v>
      </c>
      <c r="AI9" s="159">
        <f>161-AH9-AG9</f>
        <v>51</v>
      </c>
      <c r="AJ9" s="159">
        <f t="shared" si="10"/>
        <v>-397</v>
      </c>
      <c r="AK9" s="159">
        <v>17</v>
      </c>
      <c r="AL9" s="159">
        <f>17-AK9</f>
        <v>0</v>
      </c>
      <c r="AM9" s="159">
        <f>101-AL9-AK9</f>
        <v>84</v>
      </c>
      <c r="AN9" s="159">
        <f t="shared" si="11"/>
        <v>-115</v>
      </c>
      <c r="AO9" s="159">
        <v>4</v>
      </c>
      <c r="AP9" s="159">
        <f>1029-AO9</f>
        <v>1025</v>
      </c>
      <c r="AQ9" s="159">
        <f>782-AP9-AO9</f>
        <v>-247</v>
      </c>
      <c r="AR9" s="287">
        <f t="shared" si="12"/>
        <v>-659</v>
      </c>
      <c r="AS9" s="167">
        <v>127</v>
      </c>
    </row>
    <row r="10" spans="1:45" ht="24.9" customHeight="1">
      <c r="A10" s="2"/>
      <c r="B10" s="119" t="s">
        <v>160</v>
      </c>
      <c r="C10" s="159">
        <v>33736</v>
      </c>
      <c r="D10" s="159">
        <v>29064</v>
      </c>
      <c r="E10" s="159">
        <v>29383</v>
      </c>
      <c r="F10" s="159">
        <v>24755</v>
      </c>
      <c r="G10" s="159">
        <v>7165</v>
      </c>
      <c r="H10" s="159">
        <v>7635</v>
      </c>
      <c r="I10" s="159">
        <v>9616</v>
      </c>
      <c r="J10" s="159">
        <v>6919</v>
      </c>
      <c r="K10" s="159">
        <v>6899</v>
      </c>
      <c r="L10" s="167">
        <v>5299</v>
      </c>
      <c r="M10" s="159">
        <v>1618</v>
      </c>
      <c r="N10" s="159">
        <v>2135</v>
      </c>
      <c r="O10" s="159">
        <v>1566</v>
      </c>
      <c r="P10" s="159">
        <f t="shared" si="13"/>
        <v>1600</v>
      </c>
      <c r="Q10" s="159">
        <v>2148</v>
      </c>
      <c r="R10" s="159">
        <v>2409</v>
      </c>
      <c r="S10" s="159">
        <v>2479</v>
      </c>
      <c r="T10" s="159">
        <f t="shared" si="7"/>
        <v>2580</v>
      </c>
      <c r="U10" s="159">
        <v>2510</v>
      </c>
      <c r="V10" s="159">
        <v>1914</v>
      </c>
      <c r="W10" s="159">
        <v>1484</v>
      </c>
      <c r="X10" s="159">
        <f>H10-SUM(U10:W10)</f>
        <v>1727</v>
      </c>
      <c r="Y10" s="159">
        <v>1600</v>
      </c>
      <c r="Z10" s="159">
        <f>3272-Y10</f>
        <v>1672</v>
      </c>
      <c r="AA10" s="159">
        <f>5068-Z10-Y10</f>
        <v>1796</v>
      </c>
      <c r="AB10" s="159">
        <f t="shared" si="8"/>
        <v>2097</v>
      </c>
      <c r="AC10" s="159">
        <v>3668</v>
      </c>
      <c r="AD10" s="159">
        <f>9010-AC10</f>
        <v>5342</v>
      </c>
      <c r="AE10" s="159">
        <f>16300-AD10-AC10</f>
        <v>7290</v>
      </c>
      <c r="AF10" s="159">
        <f t="shared" si="9"/>
        <v>8455</v>
      </c>
      <c r="AG10" s="159">
        <v>8720</v>
      </c>
      <c r="AH10" s="159">
        <f>15714-AG10</f>
        <v>6994</v>
      </c>
      <c r="AI10" s="159">
        <f>22652-AH10-AG10</f>
        <v>6938</v>
      </c>
      <c r="AJ10" s="159">
        <f t="shared" si="10"/>
        <v>6731</v>
      </c>
      <c r="AK10" s="159">
        <v>6623</v>
      </c>
      <c r="AL10" s="159">
        <f>12516-AK10</f>
        <v>5893</v>
      </c>
      <c r="AM10" s="159">
        <f>19984-AL10-AK10</f>
        <v>7468</v>
      </c>
      <c r="AN10" s="159">
        <f t="shared" si="11"/>
        <v>9080</v>
      </c>
      <c r="AO10" s="159">
        <v>8796</v>
      </c>
      <c r="AP10" s="159">
        <f>17289-AO10</f>
        <v>8493</v>
      </c>
      <c r="AQ10" s="159">
        <f>25375-AP10-AO10</f>
        <v>8086</v>
      </c>
      <c r="AR10" s="287">
        <f t="shared" si="12"/>
        <v>8361</v>
      </c>
      <c r="AS10" s="167">
        <v>8290</v>
      </c>
    </row>
    <row r="11" spans="1:45" ht="24.9" customHeight="1">
      <c r="A11" s="2"/>
      <c r="B11" s="119" t="s">
        <v>165</v>
      </c>
      <c r="C11" s="159">
        <v>-198</v>
      </c>
      <c r="D11" s="159">
        <v>0</v>
      </c>
      <c r="E11" s="159">
        <v>0</v>
      </c>
      <c r="F11" s="159"/>
      <c r="G11" s="159">
        <v>0</v>
      </c>
      <c r="H11" s="159">
        <v>0</v>
      </c>
      <c r="I11" s="159">
        <v>0</v>
      </c>
      <c r="J11" s="159">
        <v>0</v>
      </c>
      <c r="K11" s="159">
        <v>0</v>
      </c>
      <c r="L11" s="167">
        <v>0</v>
      </c>
      <c r="M11" s="159">
        <v>0</v>
      </c>
      <c r="N11" s="159">
        <v>0</v>
      </c>
      <c r="O11" s="159">
        <v>0</v>
      </c>
      <c r="P11" s="159">
        <v>0</v>
      </c>
      <c r="Q11" s="159">
        <v>0</v>
      </c>
      <c r="R11" s="159">
        <v>0</v>
      </c>
      <c r="S11" s="159">
        <v>0</v>
      </c>
      <c r="T11" s="159">
        <v>0</v>
      </c>
      <c r="U11" s="159">
        <v>0</v>
      </c>
      <c r="V11" s="159">
        <v>0</v>
      </c>
      <c r="W11" s="159">
        <v>0</v>
      </c>
      <c r="X11" s="159">
        <v>0</v>
      </c>
      <c r="Y11" s="159">
        <v>0</v>
      </c>
      <c r="Z11" s="159">
        <v>0</v>
      </c>
      <c r="AA11" s="159">
        <v>0</v>
      </c>
      <c r="AB11" s="159">
        <v>0</v>
      </c>
      <c r="AC11" s="159">
        <v>0</v>
      </c>
      <c r="AD11" s="159">
        <v>0</v>
      </c>
      <c r="AE11" s="159">
        <v>0</v>
      </c>
      <c r="AF11" s="159">
        <v>0</v>
      </c>
      <c r="AG11" s="159">
        <v>0</v>
      </c>
      <c r="AH11" s="159">
        <v>0</v>
      </c>
      <c r="AI11" s="159">
        <v>0</v>
      </c>
      <c r="AJ11" s="159">
        <v>0</v>
      </c>
      <c r="AK11" s="159">
        <v>0</v>
      </c>
      <c r="AL11" s="159">
        <v>0</v>
      </c>
      <c r="AM11" s="159">
        <v>0</v>
      </c>
      <c r="AN11" s="159">
        <v>0</v>
      </c>
      <c r="AO11" s="159">
        <v>0</v>
      </c>
      <c r="AP11" s="159">
        <v>0</v>
      </c>
      <c r="AQ11" s="159">
        <v>0</v>
      </c>
      <c r="AR11" s="287">
        <f t="shared" si="12"/>
        <v>-198</v>
      </c>
      <c r="AS11" s="167">
        <v>-42</v>
      </c>
    </row>
    <row r="12" spans="1:45" ht="24.9" customHeight="1">
      <c r="A12" s="2"/>
      <c r="B12" s="119" t="s">
        <v>81</v>
      </c>
      <c r="C12" s="159">
        <v>0</v>
      </c>
      <c r="D12" s="159">
        <v>0</v>
      </c>
      <c r="E12" s="159">
        <v>0</v>
      </c>
      <c r="F12" s="159">
        <v>0</v>
      </c>
      <c r="G12" s="159">
        <v>0</v>
      </c>
      <c r="H12" s="159">
        <v>0</v>
      </c>
      <c r="I12" s="159">
        <v>0</v>
      </c>
      <c r="J12" s="159">
        <v>610</v>
      </c>
      <c r="K12" s="159">
        <v>731</v>
      </c>
      <c r="L12" s="167">
        <v>762</v>
      </c>
      <c r="M12" s="159">
        <v>151</v>
      </c>
      <c r="N12" s="159">
        <v>151</v>
      </c>
      <c r="O12" s="159">
        <v>154</v>
      </c>
      <c r="P12" s="159">
        <f t="shared" si="13"/>
        <v>154</v>
      </c>
      <c r="Q12" s="159">
        <v>0</v>
      </c>
      <c r="R12" s="159">
        <v>0</v>
      </c>
      <c r="S12" s="159">
        <v>0</v>
      </c>
      <c r="T12" s="159">
        <f t="shared" si="7"/>
        <v>0</v>
      </c>
      <c r="U12" s="159">
        <v>0</v>
      </c>
      <c r="V12" s="159">
        <v>0</v>
      </c>
      <c r="W12" s="159">
        <v>0</v>
      </c>
      <c r="X12" s="159">
        <f t="shared" si="14"/>
        <v>0</v>
      </c>
      <c r="Y12" s="159">
        <v>0</v>
      </c>
      <c r="Z12" s="159">
        <v>0</v>
      </c>
      <c r="AA12" s="159">
        <v>0</v>
      </c>
      <c r="AB12" s="159">
        <f t="shared" si="8"/>
        <v>0</v>
      </c>
      <c r="AC12" s="159">
        <v>0</v>
      </c>
      <c r="AD12" s="159">
        <v>0</v>
      </c>
      <c r="AE12" s="159">
        <v>0</v>
      </c>
      <c r="AF12" s="159">
        <f t="shared" si="9"/>
        <v>0</v>
      </c>
      <c r="AG12" s="159">
        <v>0</v>
      </c>
      <c r="AH12" s="159">
        <v>0</v>
      </c>
      <c r="AI12" s="159">
        <v>0</v>
      </c>
      <c r="AJ12" s="159">
        <f t="shared" si="10"/>
        <v>0</v>
      </c>
      <c r="AK12" s="159">
        <v>0</v>
      </c>
      <c r="AL12" s="159">
        <f>0-AK12</f>
        <v>0</v>
      </c>
      <c r="AM12" s="159">
        <v>0</v>
      </c>
      <c r="AN12" s="159">
        <f t="shared" si="11"/>
        <v>0</v>
      </c>
      <c r="AO12" s="159">
        <v>0</v>
      </c>
      <c r="AP12" s="159">
        <v>0</v>
      </c>
      <c r="AQ12" s="159">
        <v>0</v>
      </c>
      <c r="AR12" s="287">
        <f t="shared" si="12"/>
        <v>0</v>
      </c>
      <c r="AS12" s="167">
        <v>0</v>
      </c>
    </row>
    <row r="13" spans="1:45" ht="30" customHeight="1">
      <c r="A13" s="2"/>
      <c r="B13" s="119" t="s">
        <v>139</v>
      </c>
      <c r="C13" s="159">
        <v>-87</v>
      </c>
      <c r="D13" s="159">
        <v>-122</v>
      </c>
      <c r="E13" s="159">
        <v>-104</v>
      </c>
      <c r="F13" s="159">
        <v>0</v>
      </c>
      <c r="G13" s="159">
        <v>0</v>
      </c>
      <c r="H13" s="159">
        <v>0</v>
      </c>
      <c r="I13" s="159">
        <v>0</v>
      </c>
      <c r="J13" s="159">
        <v>0</v>
      </c>
      <c r="K13" s="159">
        <v>0</v>
      </c>
      <c r="L13" s="167">
        <v>0</v>
      </c>
      <c r="M13" s="159">
        <v>0</v>
      </c>
      <c r="N13" s="159">
        <v>0</v>
      </c>
      <c r="O13" s="159">
        <v>0</v>
      </c>
      <c r="P13" s="159">
        <v>0</v>
      </c>
      <c r="Q13" s="159">
        <v>0</v>
      </c>
      <c r="R13" s="159">
        <v>0</v>
      </c>
      <c r="S13" s="159">
        <v>0</v>
      </c>
      <c r="T13" s="159">
        <v>0</v>
      </c>
      <c r="U13" s="159">
        <v>0</v>
      </c>
      <c r="V13" s="159">
        <v>0</v>
      </c>
      <c r="W13" s="159">
        <v>0</v>
      </c>
      <c r="X13" s="159">
        <v>0</v>
      </c>
      <c r="Y13" s="159">
        <v>-23</v>
      </c>
      <c r="Z13" s="159">
        <f>-58-Y13</f>
        <v>-35</v>
      </c>
      <c r="AA13" s="159">
        <f>-58-Z13-Y13</f>
        <v>0</v>
      </c>
      <c r="AB13" s="159">
        <f t="shared" si="8"/>
        <v>58</v>
      </c>
      <c r="AC13" s="159">
        <v>0</v>
      </c>
      <c r="AD13" s="159">
        <f>-73-AC13</f>
        <v>-73</v>
      </c>
      <c r="AE13" s="159">
        <f>-79-AD13-AC13</f>
        <v>-6</v>
      </c>
      <c r="AF13" s="159">
        <f t="shared" si="9"/>
        <v>79</v>
      </c>
      <c r="AG13" s="159">
        <v>-41</v>
      </c>
      <c r="AH13" s="159">
        <f>-103-AG13</f>
        <v>-62</v>
      </c>
      <c r="AI13" s="159">
        <f>-104-AH13-AG13</f>
        <v>-1</v>
      </c>
      <c r="AJ13" s="159">
        <f t="shared" si="10"/>
        <v>0</v>
      </c>
      <c r="AK13" s="159">
        <v>-39</v>
      </c>
      <c r="AL13" s="159">
        <f>-104-AK13</f>
        <v>-65</v>
      </c>
      <c r="AM13" s="159">
        <f>-122-AL13-AK13</f>
        <v>-18</v>
      </c>
      <c r="AN13" s="159">
        <f t="shared" si="11"/>
        <v>0</v>
      </c>
      <c r="AO13" s="159">
        <v>-11</v>
      </c>
      <c r="AP13" s="159">
        <f>-72-AO13</f>
        <v>-61</v>
      </c>
      <c r="AQ13" s="159">
        <f>-87-AP13-AO13</f>
        <v>-15</v>
      </c>
      <c r="AR13" s="287">
        <f t="shared" si="12"/>
        <v>0</v>
      </c>
      <c r="AS13" s="167">
        <v>0</v>
      </c>
    </row>
    <row r="14" spans="1:45" ht="24.9" customHeight="1">
      <c r="A14" s="2"/>
      <c r="B14" s="119" t="s">
        <v>82</v>
      </c>
      <c r="C14" s="159">
        <v>0</v>
      </c>
      <c r="D14" s="159">
        <v>197</v>
      </c>
      <c r="E14" s="159">
        <v>0</v>
      </c>
      <c r="F14" s="159">
        <v>0</v>
      </c>
      <c r="G14" s="159">
        <v>-4</v>
      </c>
      <c r="H14" s="159">
        <v>-12</v>
      </c>
      <c r="I14" s="159">
        <v>-12</v>
      </c>
      <c r="J14" s="159">
        <v>-12</v>
      </c>
      <c r="K14" s="159">
        <v>-12</v>
      </c>
      <c r="L14" s="167">
        <v>-8</v>
      </c>
      <c r="M14" s="159">
        <v>-3</v>
      </c>
      <c r="N14" s="159">
        <v>-3</v>
      </c>
      <c r="O14" s="159">
        <v>-3</v>
      </c>
      <c r="P14" s="159">
        <f t="shared" si="13"/>
        <v>-3</v>
      </c>
      <c r="Q14" s="159">
        <v>-15</v>
      </c>
      <c r="R14" s="159">
        <v>-3</v>
      </c>
      <c r="S14" s="159">
        <v>-3</v>
      </c>
      <c r="T14" s="159">
        <f t="shared" si="7"/>
        <v>9</v>
      </c>
      <c r="U14" s="159">
        <v>0</v>
      </c>
      <c r="V14" s="159">
        <v>0</v>
      </c>
      <c r="W14" s="159">
        <v>0</v>
      </c>
      <c r="X14" s="159">
        <f t="shared" si="14"/>
        <v>-12</v>
      </c>
      <c r="Y14" s="159">
        <v>-3</v>
      </c>
      <c r="Z14" s="159">
        <f>-6-Y14</f>
        <v>-3</v>
      </c>
      <c r="AA14" s="159">
        <f>-4-Z14-Y14</f>
        <v>2</v>
      </c>
      <c r="AB14" s="159">
        <f t="shared" si="8"/>
        <v>0</v>
      </c>
      <c r="AC14" s="159">
        <v>0</v>
      </c>
      <c r="AD14" s="159">
        <v>0</v>
      </c>
      <c r="AE14" s="159">
        <v>0</v>
      </c>
      <c r="AF14" s="159">
        <f t="shared" si="9"/>
        <v>0</v>
      </c>
      <c r="AG14" s="159">
        <v>0</v>
      </c>
      <c r="AH14" s="159">
        <v>0</v>
      </c>
      <c r="AI14" s="159">
        <v>0</v>
      </c>
      <c r="AJ14" s="159">
        <f t="shared" si="10"/>
        <v>0</v>
      </c>
      <c r="AK14" s="159">
        <v>0</v>
      </c>
      <c r="AL14" s="159">
        <v>0</v>
      </c>
      <c r="AM14" s="159">
        <v>0</v>
      </c>
      <c r="AN14" s="159">
        <f t="shared" si="11"/>
        <v>197</v>
      </c>
      <c r="AO14" s="159">
        <v>220</v>
      </c>
      <c r="AP14" s="159">
        <f>-207-AO14</f>
        <v>-427</v>
      </c>
      <c r="AQ14" s="159">
        <f>0-AP14-AO14</f>
        <v>207</v>
      </c>
      <c r="AR14" s="287">
        <f t="shared" si="12"/>
        <v>0</v>
      </c>
      <c r="AS14" s="167">
        <v>0</v>
      </c>
    </row>
    <row r="15" spans="1:45" ht="24.9" customHeight="1">
      <c r="A15" s="2"/>
      <c r="B15" s="168" t="s">
        <v>161</v>
      </c>
      <c r="C15" s="159">
        <f>-74954+1777</f>
        <v>-73177</v>
      </c>
      <c r="D15" s="159">
        <f>-113784-4455</f>
        <v>-118239</v>
      </c>
      <c r="E15" s="159">
        <f>-50637-5782</f>
        <v>-56419</v>
      </c>
      <c r="F15" s="159">
        <v>-219949</v>
      </c>
      <c r="G15" s="159">
        <v>-257713</v>
      </c>
      <c r="H15" s="159">
        <v>-23540</v>
      </c>
      <c r="I15" s="159">
        <v>-28537</v>
      </c>
      <c r="J15" s="159">
        <v>-72885</v>
      </c>
      <c r="K15" s="159">
        <v>-117981</v>
      </c>
      <c r="L15" s="167">
        <v>-88628</v>
      </c>
      <c r="M15" s="159">
        <v>-15932</v>
      </c>
      <c r="N15" s="159">
        <v>-8319</v>
      </c>
      <c r="O15" s="159">
        <v>-19550</v>
      </c>
      <c r="P15" s="159">
        <f t="shared" si="13"/>
        <v>-29084</v>
      </c>
      <c r="Q15" s="159">
        <v>-7546</v>
      </c>
      <c r="R15" s="159">
        <v>-815</v>
      </c>
      <c r="S15" s="159">
        <v>3</v>
      </c>
      <c r="T15" s="159">
        <f t="shared" si="7"/>
        <v>-20179</v>
      </c>
      <c r="U15" s="159">
        <v>-1532</v>
      </c>
      <c r="V15" s="159">
        <v>-9166</v>
      </c>
      <c r="W15" s="159">
        <v>-24372</v>
      </c>
      <c r="X15" s="159">
        <f t="shared" si="14"/>
        <v>11530</v>
      </c>
      <c r="Y15" s="159">
        <v>-117052</v>
      </c>
      <c r="Z15" s="159">
        <f>-106243-5260-Y15</f>
        <v>5549</v>
      </c>
      <c r="AA15" s="159">
        <f>-160469-3939-Z15-Y15</f>
        <v>-52905</v>
      </c>
      <c r="AB15" s="159">
        <f t="shared" si="8"/>
        <v>-93305</v>
      </c>
      <c r="AC15" s="159">
        <f>-(89182+1296)</f>
        <v>-90478</v>
      </c>
      <c r="AD15" s="159">
        <f>-73546-4661-AC15</f>
        <v>12271</v>
      </c>
      <c r="AE15" s="159">
        <f>-122132-4532-AD15-AC15</f>
        <v>-48457</v>
      </c>
      <c r="AF15" s="159">
        <f t="shared" si="9"/>
        <v>-93285</v>
      </c>
      <c r="AG15" s="159">
        <f>7538-2960</f>
        <v>4578</v>
      </c>
      <c r="AH15" s="159">
        <f>-17870-6621-AG15</f>
        <v>-29069</v>
      </c>
      <c r="AI15" s="159">
        <f>-6664-5362-AH15-AG15</f>
        <v>12465</v>
      </c>
      <c r="AJ15" s="159">
        <f t="shared" si="10"/>
        <v>-44393</v>
      </c>
      <c r="AK15" s="159">
        <f>7891-1156</f>
        <v>6735</v>
      </c>
      <c r="AL15" s="159">
        <f>-48116-4186-AK15</f>
        <v>-59037</v>
      </c>
      <c r="AM15" s="159">
        <f>-82507-5224-AL15-AK15</f>
        <v>-35429</v>
      </c>
      <c r="AN15" s="159">
        <f t="shared" si="11"/>
        <v>-30508</v>
      </c>
      <c r="AO15" s="159">
        <f>-53845-491</f>
        <v>-54336</v>
      </c>
      <c r="AP15" s="159">
        <f>14774-2829-AO15</f>
        <v>66281</v>
      </c>
      <c r="AQ15" s="159">
        <f>1967-2718-AP15-AO15</f>
        <v>-12696</v>
      </c>
      <c r="AR15" s="287">
        <f t="shared" si="12"/>
        <v>-72426</v>
      </c>
      <c r="AS15" s="167">
        <f>-61479-3045</f>
        <v>-64524</v>
      </c>
    </row>
    <row r="16" spans="1:45" ht="24.9" customHeight="1">
      <c r="A16" s="2"/>
      <c r="B16" s="168" t="s">
        <v>83</v>
      </c>
      <c r="C16" s="159">
        <v>-78688</v>
      </c>
      <c r="D16" s="159">
        <v>-65107</v>
      </c>
      <c r="E16" s="159">
        <v>-77853</v>
      </c>
      <c r="F16" s="159">
        <v>-40842</v>
      </c>
      <c r="G16" s="159">
        <v>-113441</v>
      </c>
      <c r="H16" s="159">
        <v>-11780</v>
      </c>
      <c r="I16" s="159">
        <v>-25841</v>
      </c>
      <c r="J16" s="159">
        <v>-18978</v>
      </c>
      <c r="K16" s="159">
        <v>-22747</v>
      </c>
      <c r="L16" s="167">
        <v>-14174</v>
      </c>
      <c r="M16" s="159">
        <v>-14825</v>
      </c>
      <c r="N16" s="159">
        <v>182</v>
      </c>
      <c r="O16" s="159">
        <v>-12581</v>
      </c>
      <c r="P16" s="159">
        <f t="shared" si="13"/>
        <v>8246</v>
      </c>
      <c r="Q16" s="159">
        <v>-34977</v>
      </c>
      <c r="R16" s="159">
        <v>-1237</v>
      </c>
      <c r="S16" s="159">
        <v>-3230</v>
      </c>
      <c r="T16" s="159">
        <f t="shared" si="7"/>
        <v>13603</v>
      </c>
      <c r="U16" s="159">
        <v>-20303</v>
      </c>
      <c r="V16" s="159">
        <v>4916</v>
      </c>
      <c r="W16" s="159">
        <v>-8002</v>
      </c>
      <c r="X16" s="159">
        <f t="shared" si="14"/>
        <v>11609</v>
      </c>
      <c r="Y16" s="159">
        <v>-46724</v>
      </c>
      <c r="Z16" s="159">
        <f>-54053-Y16</f>
        <v>-7329</v>
      </c>
      <c r="AA16" s="159">
        <f>-85664-Z16-Y16</f>
        <v>-31611</v>
      </c>
      <c r="AB16" s="159">
        <f t="shared" si="8"/>
        <v>-27777</v>
      </c>
      <c r="AC16" s="159">
        <v>-27630</v>
      </c>
      <c r="AD16" s="159">
        <f>351-AC16</f>
        <v>27981</v>
      </c>
      <c r="AE16" s="159">
        <f>-25534-AD16-AC16</f>
        <v>-25885</v>
      </c>
      <c r="AF16" s="159">
        <f t="shared" si="9"/>
        <v>-15308</v>
      </c>
      <c r="AG16" s="159">
        <v>-2038</v>
      </c>
      <c r="AH16" s="159">
        <f>-8190-AG16</f>
        <v>-6152</v>
      </c>
      <c r="AI16" s="159">
        <f>-49128-AH16-AG16</f>
        <v>-40938</v>
      </c>
      <c r="AJ16" s="159">
        <f t="shared" si="10"/>
        <v>-28725</v>
      </c>
      <c r="AK16" s="159">
        <v>23691</v>
      </c>
      <c r="AL16" s="159">
        <f>-2139-AK16</f>
        <v>-25830</v>
      </c>
      <c r="AM16" s="159">
        <f>-36167-AL16-AK16</f>
        <v>-34028</v>
      </c>
      <c r="AN16" s="159">
        <f t="shared" si="11"/>
        <v>-28940</v>
      </c>
      <c r="AO16" s="159">
        <v>48625</v>
      </c>
      <c r="AP16" s="159">
        <f>43304-AO16</f>
        <v>-5321</v>
      </c>
      <c r="AQ16" s="159">
        <f>-15533-AP16-AO16</f>
        <v>-58837</v>
      </c>
      <c r="AR16" s="287">
        <f t="shared" si="12"/>
        <v>-63155</v>
      </c>
      <c r="AS16" s="167">
        <v>37521</v>
      </c>
    </row>
    <row r="17" spans="1:45" ht="36" customHeight="1">
      <c r="A17" s="2"/>
      <c r="B17" s="168" t="s">
        <v>162</v>
      </c>
      <c r="C17" s="159">
        <f>888-2604</f>
        <v>-1716</v>
      </c>
      <c r="D17" s="159">
        <f>-2731+6510</f>
        <v>3779</v>
      </c>
      <c r="E17" s="159">
        <f>16193+7585</f>
        <v>23778</v>
      </c>
      <c r="F17" s="159">
        <v>39509</v>
      </c>
      <c r="G17" s="159">
        <f>15161+2378</f>
        <v>17539</v>
      </c>
      <c r="H17" s="159">
        <v>9153</v>
      </c>
      <c r="I17" s="159">
        <v>-22927</v>
      </c>
      <c r="J17" s="159">
        <v>37591</v>
      </c>
      <c r="K17" s="159">
        <v>7644</v>
      </c>
      <c r="L17" s="167">
        <v>16436</v>
      </c>
      <c r="M17" s="159">
        <v>12382</v>
      </c>
      <c r="N17" s="159">
        <v>32311</v>
      </c>
      <c r="O17" s="159">
        <v>-17471</v>
      </c>
      <c r="P17" s="159">
        <f t="shared" si="13"/>
        <v>10369</v>
      </c>
      <c r="Q17" s="159">
        <v>24440</v>
      </c>
      <c r="R17" s="159">
        <v>-3029</v>
      </c>
      <c r="S17" s="159">
        <v>-22904</v>
      </c>
      <c r="T17" s="159">
        <f t="shared" si="7"/>
        <v>-21434</v>
      </c>
      <c r="U17" s="159">
        <v>41931</v>
      </c>
      <c r="V17" s="159">
        <v>35894</v>
      </c>
      <c r="W17" s="159">
        <v>-7225</v>
      </c>
      <c r="X17" s="159">
        <f t="shared" si="14"/>
        <v>-61447</v>
      </c>
      <c r="Y17" s="159">
        <v>105245</v>
      </c>
      <c r="Z17" s="159">
        <f>50051+7339-Y17</f>
        <v>-47855</v>
      </c>
      <c r="AA17" s="159">
        <f>40849+5518-Z17-Y17</f>
        <v>-11023</v>
      </c>
      <c r="AB17" s="159">
        <f t="shared" si="8"/>
        <v>-28828</v>
      </c>
      <c r="AC17" s="159">
        <f>73058+1368</f>
        <v>74426</v>
      </c>
      <c r="AD17" s="159">
        <f>48788+6697-AC17</f>
        <v>-18941</v>
      </c>
      <c r="AE17" s="159">
        <f>38968+6331-AD17-AC17</f>
        <v>-10186</v>
      </c>
      <c r="AF17" s="159">
        <f t="shared" si="9"/>
        <v>-5790</v>
      </c>
      <c r="AG17" s="159">
        <f>88766+3794</f>
        <v>92560</v>
      </c>
      <c r="AH17" s="159">
        <f>99832+9501-AG17</f>
        <v>16773</v>
      </c>
      <c r="AI17" s="159">
        <f>87818+7149-AH17-AG17</f>
        <v>-14366</v>
      </c>
      <c r="AJ17" s="159">
        <f t="shared" si="10"/>
        <v>-71189</v>
      </c>
      <c r="AK17" s="159">
        <f>76111+2127</f>
        <v>78238</v>
      </c>
      <c r="AL17" s="159">
        <f>126868+6195-AK17</f>
        <v>54825</v>
      </c>
      <c r="AM17" s="159">
        <f>59583+7384-AL17-AK17</f>
        <v>-66096</v>
      </c>
      <c r="AN17" s="159">
        <f t="shared" si="11"/>
        <v>-63188</v>
      </c>
      <c r="AO17" s="159">
        <f>57719-39</f>
        <v>57680</v>
      </c>
      <c r="AP17" s="159">
        <f>26590+3486-AO17</f>
        <v>-27604</v>
      </c>
      <c r="AQ17" s="159">
        <f>24272+2960-AP17-AO17</f>
        <v>-2844</v>
      </c>
      <c r="AR17" s="287">
        <f t="shared" si="12"/>
        <v>-28948</v>
      </c>
      <c r="AS17" s="167">
        <f>93634+4250</f>
        <v>97884</v>
      </c>
    </row>
    <row r="18" spans="1:45" ht="20.399999999999999">
      <c r="A18" s="2"/>
      <c r="B18" s="168" t="s">
        <v>84</v>
      </c>
      <c r="C18" s="159">
        <v>2140</v>
      </c>
      <c r="D18" s="159">
        <v>-354</v>
      </c>
      <c r="E18" s="159">
        <v>1545</v>
      </c>
      <c r="F18" s="159">
        <v>9499</v>
      </c>
      <c r="G18" s="159">
        <v>9980</v>
      </c>
      <c r="H18" s="159">
        <v>5849</v>
      </c>
      <c r="I18" s="159">
        <v>3149</v>
      </c>
      <c r="J18" s="159">
        <v>287</v>
      </c>
      <c r="K18" s="159">
        <v>-163</v>
      </c>
      <c r="L18" s="167">
        <f>66+226</f>
        <v>292</v>
      </c>
      <c r="M18" s="159">
        <v>686</v>
      </c>
      <c r="N18" s="159">
        <v>-114</v>
      </c>
      <c r="O18" s="159">
        <v>831</v>
      </c>
      <c r="P18" s="159">
        <f t="shared" si="13"/>
        <v>-1116</v>
      </c>
      <c r="Q18" s="159">
        <v>1499</v>
      </c>
      <c r="R18" s="159">
        <v>1531</v>
      </c>
      <c r="S18" s="159">
        <v>494</v>
      </c>
      <c r="T18" s="159">
        <f t="shared" si="7"/>
        <v>-375</v>
      </c>
      <c r="U18" s="159">
        <v>983</v>
      </c>
      <c r="V18" s="159">
        <v>2023</v>
      </c>
      <c r="W18" s="159">
        <v>-604</v>
      </c>
      <c r="X18" s="159">
        <f t="shared" si="14"/>
        <v>3447</v>
      </c>
      <c r="Y18" s="159">
        <v>1644</v>
      </c>
      <c r="Z18" s="159">
        <f>3219-Y18</f>
        <v>1575</v>
      </c>
      <c r="AA18" s="159">
        <f>2150-Z18-Y18</f>
        <v>-1069</v>
      </c>
      <c r="AB18" s="159">
        <f t="shared" si="8"/>
        <v>7830</v>
      </c>
      <c r="AC18" s="159">
        <v>665</v>
      </c>
      <c r="AD18" s="159">
        <f>3623-AC18</f>
        <v>2958</v>
      </c>
      <c r="AE18" s="159">
        <f>5389-AD18-AC18</f>
        <v>1766</v>
      </c>
      <c r="AF18" s="159">
        <f t="shared" si="9"/>
        <v>4110</v>
      </c>
      <c r="AG18" s="159">
        <v>4707</v>
      </c>
      <c r="AH18" s="159">
        <f>65-AG18</f>
        <v>-4642</v>
      </c>
      <c r="AI18" s="159">
        <f>193-AH18-AG18</f>
        <v>128</v>
      </c>
      <c r="AJ18" s="159">
        <f t="shared" si="10"/>
        <v>1352</v>
      </c>
      <c r="AK18" s="159">
        <v>5485</v>
      </c>
      <c r="AL18" s="159">
        <f>3887-AK18</f>
        <v>-1598</v>
      </c>
      <c r="AM18" s="159">
        <f>-832-AL18-AK18</f>
        <v>-4719</v>
      </c>
      <c r="AN18" s="159">
        <f t="shared" si="11"/>
        <v>478</v>
      </c>
      <c r="AO18" s="159">
        <v>3012</v>
      </c>
      <c r="AP18" s="159">
        <f>2339-AO18</f>
        <v>-673</v>
      </c>
      <c r="AQ18" s="159">
        <f>-490-AP18-AO18</f>
        <v>-2829</v>
      </c>
      <c r="AR18" s="287">
        <f t="shared" si="12"/>
        <v>2630</v>
      </c>
      <c r="AS18" s="167">
        <v>2997</v>
      </c>
    </row>
    <row r="19" spans="1:45" ht="24.9" customHeight="1">
      <c r="A19" s="2"/>
      <c r="B19" s="163" t="s">
        <v>85</v>
      </c>
      <c r="C19" s="48">
        <f t="shared" ref="C19:W19" si="15">C5+C6</f>
        <v>186412</v>
      </c>
      <c r="D19" s="48">
        <f t="shared" si="15"/>
        <v>164267</v>
      </c>
      <c r="E19" s="48">
        <f t="shared" si="15"/>
        <v>235912</v>
      </c>
      <c r="F19" s="48">
        <f t="shared" si="15"/>
        <v>101470</v>
      </c>
      <c r="G19" s="48">
        <f t="shared" si="15"/>
        <v>-79486</v>
      </c>
      <c r="H19" s="48">
        <f t="shared" si="15"/>
        <v>152868</v>
      </c>
      <c r="I19" s="48">
        <f t="shared" si="15"/>
        <v>29890</v>
      </c>
      <c r="J19" s="48">
        <f t="shared" si="15"/>
        <v>36389</v>
      </c>
      <c r="K19" s="48">
        <f t="shared" si="15"/>
        <v>-70337</v>
      </c>
      <c r="L19" s="164">
        <f t="shared" si="15"/>
        <v>-36192</v>
      </c>
      <c r="M19" s="48">
        <f t="shared" si="15"/>
        <v>3221</v>
      </c>
      <c r="N19" s="48">
        <f t="shared" si="15"/>
        <v>48412</v>
      </c>
      <c r="O19" s="48">
        <f t="shared" si="15"/>
        <v>-24691</v>
      </c>
      <c r="P19" s="48">
        <f t="shared" si="15"/>
        <v>9447</v>
      </c>
      <c r="Q19" s="48">
        <f t="shared" si="15"/>
        <v>9131</v>
      </c>
      <c r="R19" s="48">
        <f t="shared" si="15"/>
        <v>20405</v>
      </c>
      <c r="S19" s="48">
        <f t="shared" si="15"/>
        <v>1449</v>
      </c>
      <c r="T19" s="48">
        <f t="shared" si="15"/>
        <v>-1095</v>
      </c>
      <c r="U19" s="48">
        <f t="shared" si="15"/>
        <v>45777</v>
      </c>
      <c r="V19" s="48">
        <f t="shared" si="15"/>
        <v>81102</v>
      </c>
      <c r="W19" s="48">
        <f t="shared" si="15"/>
        <v>12731</v>
      </c>
      <c r="X19" s="48">
        <f t="shared" ref="X19" si="16">X5+X6</f>
        <v>13258</v>
      </c>
      <c r="Y19" s="48">
        <f t="shared" ref="Y19:AD19" si="17">Y5+Y6</f>
        <v>-2181</v>
      </c>
      <c r="Z19" s="48">
        <f t="shared" si="17"/>
        <v>27769</v>
      </c>
      <c r="AA19" s="48">
        <f t="shared" si="17"/>
        <v>-23998</v>
      </c>
      <c r="AB19" s="48">
        <f t="shared" si="17"/>
        <v>-81076</v>
      </c>
      <c r="AC19" s="48">
        <f t="shared" si="17"/>
        <v>30719</v>
      </c>
      <c r="AD19" s="48">
        <f t="shared" si="17"/>
        <v>101917</v>
      </c>
      <c r="AE19" s="48">
        <f t="shared" ref="AE19:AJ19" si="18">AE5+AE6</f>
        <v>557</v>
      </c>
      <c r="AF19" s="48">
        <f t="shared" si="18"/>
        <v>-31723</v>
      </c>
      <c r="AG19" s="48">
        <f t="shared" si="18"/>
        <v>171492</v>
      </c>
      <c r="AH19" s="48">
        <f t="shared" si="18"/>
        <v>71792</v>
      </c>
      <c r="AI19" s="48">
        <f t="shared" si="18"/>
        <v>58610</v>
      </c>
      <c r="AJ19" s="48">
        <f t="shared" si="18"/>
        <v>-65982</v>
      </c>
      <c r="AK19" s="48">
        <f t="shared" ref="AK19:AL19" si="19">AK5+AK6</f>
        <v>183225</v>
      </c>
      <c r="AL19" s="48">
        <f t="shared" si="19"/>
        <v>61053</v>
      </c>
      <c r="AM19" s="48">
        <f t="shared" ref="AM19:AN19" si="20">AM5+AM6</f>
        <v>-55241</v>
      </c>
      <c r="AN19" s="48">
        <f t="shared" si="20"/>
        <v>-24770</v>
      </c>
      <c r="AO19" s="48">
        <f t="shared" ref="AO19:AP19" si="21">AO5+AO6</f>
        <v>125946</v>
      </c>
      <c r="AP19" s="48">
        <f t="shared" si="21"/>
        <v>129968</v>
      </c>
      <c r="AQ19" s="48">
        <f t="shared" ref="AQ19:AR19" si="22">AQ5+AQ6</f>
        <v>7222</v>
      </c>
      <c r="AR19" s="48">
        <f t="shared" si="22"/>
        <v>-76724</v>
      </c>
      <c r="AS19" s="164">
        <f t="shared" ref="AS19" si="23">AS5+AS6</f>
        <v>178810</v>
      </c>
    </row>
    <row r="20" spans="1:45" ht="24.9" customHeight="1">
      <c r="A20" s="2"/>
      <c r="B20" s="119"/>
      <c r="C20" s="182"/>
      <c r="D20" s="182"/>
      <c r="E20" s="182"/>
      <c r="F20" s="182"/>
      <c r="G20" s="182"/>
      <c r="H20" s="182"/>
      <c r="I20" s="182"/>
      <c r="J20" s="42"/>
      <c r="K20" s="42"/>
      <c r="L20" s="13"/>
      <c r="M20"/>
      <c r="N20" s="153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88"/>
      <c r="AS20" s="218"/>
    </row>
    <row r="21" spans="1:45" ht="24.9" customHeight="1">
      <c r="A21" s="3"/>
      <c r="B21" s="169" t="s">
        <v>86</v>
      </c>
      <c r="C21" s="157">
        <v>-34445</v>
      </c>
      <c r="D21" s="157">
        <v>-40114</v>
      </c>
      <c r="E21" s="157">
        <v>-55827</v>
      </c>
      <c r="F21" s="157">
        <v>-51406</v>
      </c>
      <c r="G21" s="157">
        <v>-16845</v>
      </c>
      <c r="H21" s="157">
        <v>-24966</v>
      </c>
      <c r="I21" s="157">
        <v>-14553</v>
      </c>
      <c r="J21" s="157">
        <v>-13949</v>
      </c>
      <c r="K21" s="157">
        <v>-8875</v>
      </c>
      <c r="L21" s="170">
        <v>-8379</v>
      </c>
      <c r="M21" s="157">
        <v>-4598</v>
      </c>
      <c r="N21" s="157">
        <v>-4894</v>
      </c>
      <c r="O21" s="157">
        <v>-2881</v>
      </c>
      <c r="P21" s="157">
        <f>J21-SUM(M21:O21)</f>
        <v>-1576</v>
      </c>
      <c r="Q21" s="157">
        <v>-5469</v>
      </c>
      <c r="R21" s="157">
        <v>-4905</v>
      </c>
      <c r="S21" s="157">
        <v>-1143</v>
      </c>
      <c r="T21" s="157">
        <f>I21-SUM(Q21:S21)</f>
        <v>-3036</v>
      </c>
      <c r="U21" s="157">
        <v>-8096</v>
      </c>
      <c r="V21" s="157">
        <v>-6315</v>
      </c>
      <c r="W21" s="157">
        <v>-6148</v>
      </c>
      <c r="X21" s="157">
        <f t="shared" ref="X21" si="24">H21-SUM(U21:W21)</f>
        <v>-4407</v>
      </c>
      <c r="Y21" s="157">
        <v>-5241</v>
      </c>
      <c r="Z21" s="157">
        <f>-8603-Y21</f>
        <v>-3362</v>
      </c>
      <c r="AA21" s="157">
        <f>-12140-Z21-Y21</f>
        <v>-3537</v>
      </c>
      <c r="AB21" s="157">
        <f>G21-SUM(Y21:AA21)</f>
        <v>-4705</v>
      </c>
      <c r="AC21" s="157">
        <v>-6414</v>
      </c>
      <c r="AD21" s="157">
        <f>-36425-AC21</f>
        <v>-30011</v>
      </c>
      <c r="AE21" s="157">
        <f>-43697-AD21-AC21</f>
        <v>-7272</v>
      </c>
      <c r="AF21" s="157">
        <f>F21-SUM(AC21:AE21)</f>
        <v>-7709</v>
      </c>
      <c r="AG21" s="157">
        <v>-9761</v>
      </c>
      <c r="AH21" s="157">
        <f>-36290-AG21</f>
        <v>-26529</v>
      </c>
      <c r="AI21" s="157">
        <f>-46061-AH21-AG21</f>
        <v>-9771</v>
      </c>
      <c r="AJ21" s="157">
        <f>E21-SUM(AG21:AI21)</f>
        <v>-9766</v>
      </c>
      <c r="AK21" s="157">
        <v>-11416</v>
      </c>
      <c r="AL21" s="157">
        <f>-18258-AK21</f>
        <v>-6842</v>
      </c>
      <c r="AM21" s="157">
        <f>-29300-AL21-AK21</f>
        <v>-11042</v>
      </c>
      <c r="AN21" s="157">
        <f>D21-SUM(AK21:AM21)</f>
        <v>-10814</v>
      </c>
      <c r="AO21" s="157">
        <v>-10273</v>
      </c>
      <c r="AP21" s="157">
        <f>-16802-AO21</f>
        <v>-6529</v>
      </c>
      <c r="AQ21" s="157">
        <f>-25779-AP21-AO21</f>
        <v>-8977</v>
      </c>
      <c r="AR21" s="157">
        <f>C21-SUM(AO21:AQ21)</f>
        <v>-8666</v>
      </c>
      <c r="AS21" s="170">
        <v>-20610</v>
      </c>
    </row>
    <row r="22" spans="1:45" ht="24.9" customHeight="1">
      <c r="A22" s="2"/>
      <c r="B22" s="168"/>
      <c r="C22" s="198"/>
      <c r="D22" s="198"/>
      <c r="E22" s="198"/>
      <c r="F22" s="198"/>
      <c r="G22" s="198"/>
      <c r="H22" s="198"/>
      <c r="I22" s="198"/>
      <c r="J22" s="42"/>
      <c r="K22" s="42"/>
      <c r="L22" s="13"/>
      <c r="M22" s="50"/>
      <c r="N22" s="99"/>
      <c r="O22" s="25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289"/>
      <c r="AS22" s="219"/>
    </row>
    <row r="23" spans="1:45" ht="24.9" customHeight="1">
      <c r="A23" s="2"/>
      <c r="B23" s="171" t="s">
        <v>87</v>
      </c>
      <c r="C23" s="48">
        <f t="shared" ref="C23:U23" si="25">SUM(C21:C21,C19)</f>
        <v>151967</v>
      </c>
      <c r="D23" s="48">
        <f t="shared" si="25"/>
        <v>124153</v>
      </c>
      <c r="E23" s="48">
        <f t="shared" si="25"/>
        <v>180085</v>
      </c>
      <c r="F23" s="48">
        <f t="shared" si="25"/>
        <v>50064</v>
      </c>
      <c r="G23" s="48">
        <f t="shared" si="25"/>
        <v>-96331</v>
      </c>
      <c r="H23" s="48">
        <f t="shared" si="25"/>
        <v>127902</v>
      </c>
      <c r="I23" s="48">
        <f t="shared" si="25"/>
        <v>15337</v>
      </c>
      <c r="J23" s="48">
        <f t="shared" si="25"/>
        <v>22440</v>
      </c>
      <c r="K23" s="48">
        <f t="shared" si="25"/>
        <v>-79212</v>
      </c>
      <c r="L23" s="164">
        <f t="shared" si="25"/>
        <v>-44571</v>
      </c>
      <c r="M23" s="48">
        <f t="shared" si="25"/>
        <v>-1377</v>
      </c>
      <c r="N23" s="48">
        <f t="shared" si="25"/>
        <v>43518</v>
      </c>
      <c r="O23" s="48">
        <f t="shared" si="25"/>
        <v>-27572</v>
      </c>
      <c r="P23" s="48">
        <f t="shared" si="25"/>
        <v>7871</v>
      </c>
      <c r="Q23" s="48">
        <f t="shared" si="25"/>
        <v>3662</v>
      </c>
      <c r="R23" s="48">
        <f t="shared" si="25"/>
        <v>15500</v>
      </c>
      <c r="S23" s="48">
        <f t="shared" si="25"/>
        <v>306</v>
      </c>
      <c r="T23" s="48">
        <f t="shared" si="25"/>
        <v>-4131</v>
      </c>
      <c r="U23" s="48">
        <f t="shared" si="25"/>
        <v>37681</v>
      </c>
      <c r="V23" s="48">
        <f t="shared" ref="V23" si="26">SUM(V21:V21,V19)</f>
        <v>74787</v>
      </c>
      <c r="W23" s="48">
        <v>6583</v>
      </c>
      <c r="X23" s="48">
        <f t="shared" ref="X23:AC23" si="27">SUM(X21:X21,X19)</f>
        <v>8851</v>
      </c>
      <c r="Y23" s="48">
        <f t="shared" si="27"/>
        <v>-7422</v>
      </c>
      <c r="Z23" s="48">
        <f t="shared" si="27"/>
        <v>24407</v>
      </c>
      <c r="AA23" s="48">
        <f t="shared" si="27"/>
        <v>-27535</v>
      </c>
      <c r="AB23" s="48">
        <f>SUM(AB21:AB21,AB19)</f>
        <v>-85781</v>
      </c>
      <c r="AC23" s="48">
        <f t="shared" si="27"/>
        <v>24305</v>
      </c>
      <c r="AD23" s="48">
        <f t="shared" ref="AD23" si="28">SUM(AD21:AD21,AD19)</f>
        <v>71906</v>
      </c>
      <c r="AE23" s="48">
        <f t="shared" ref="AE23:AJ23" si="29">SUM(AE21:AE21,AE19)</f>
        <v>-6715</v>
      </c>
      <c r="AF23" s="48">
        <f t="shared" si="29"/>
        <v>-39432</v>
      </c>
      <c r="AG23" s="48">
        <f t="shared" si="29"/>
        <v>161731</v>
      </c>
      <c r="AH23" s="48">
        <f t="shared" si="29"/>
        <v>45263</v>
      </c>
      <c r="AI23" s="48">
        <f t="shared" si="29"/>
        <v>48839</v>
      </c>
      <c r="AJ23" s="48">
        <f t="shared" si="29"/>
        <v>-75748</v>
      </c>
      <c r="AK23" s="48">
        <f t="shared" ref="AK23:AL23" si="30">SUM(AK21:AK21,AK19)</f>
        <v>171809</v>
      </c>
      <c r="AL23" s="48">
        <f t="shared" si="30"/>
        <v>54211</v>
      </c>
      <c r="AM23" s="48">
        <f t="shared" ref="AM23" si="31">SUM(AM21:AM21,AM19)</f>
        <v>-66283</v>
      </c>
      <c r="AN23" s="48">
        <f>SUM(AN21:AN21,AN19)</f>
        <v>-35584</v>
      </c>
      <c r="AO23" s="48">
        <f>SUM(AO21:AO21,AO19)</f>
        <v>115673</v>
      </c>
      <c r="AP23" s="48">
        <f>SUM(AP21:AP21,AP19)</f>
        <v>123439</v>
      </c>
      <c r="AQ23" s="48">
        <f>SUM(AQ21:AQ21,AQ19)</f>
        <v>-1755</v>
      </c>
      <c r="AR23" s="48">
        <f>SUM(AR21:AR21,AR19)</f>
        <v>-85390</v>
      </c>
      <c r="AS23" s="164">
        <f>SUM(AS21:AS21,AS19)</f>
        <v>158200</v>
      </c>
    </row>
    <row r="24" spans="1:45" ht="24.9" customHeight="1">
      <c r="A24" s="2"/>
      <c r="B24" s="168"/>
      <c r="C24" s="198"/>
      <c r="D24" s="198"/>
      <c r="E24" s="198"/>
      <c r="F24" s="198"/>
      <c r="G24" s="198"/>
      <c r="H24" s="198"/>
      <c r="I24" s="198"/>
      <c r="J24" s="42"/>
      <c r="K24" s="42"/>
      <c r="L24" s="118"/>
      <c r="M24" s="42"/>
      <c r="N24" s="99"/>
      <c r="O24" s="25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290"/>
      <c r="AS24" s="220"/>
    </row>
    <row r="25" spans="1:45" ht="24.9" customHeight="1">
      <c r="A25" s="3"/>
      <c r="B25" s="172" t="s">
        <v>88</v>
      </c>
      <c r="C25" s="43"/>
      <c r="D25" s="43"/>
      <c r="E25" s="43"/>
      <c r="F25" s="43"/>
      <c r="G25" s="43"/>
      <c r="H25" s="43"/>
      <c r="I25" s="43"/>
      <c r="J25" s="42"/>
      <c r="K25" s="42"/>
      <c r="L25" s="13"/>
      <c r="M25" s="159"/>
      <c r="N25" s="34"/>
      <c r="O25" s="17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290"/>
      <c r="AS25" s="220"/>
    </row>
    <row r="26" spans="1:45" ht="24.9" customHeight="1">
      <c r="A26" s="2"/>
      <c r="B26" s="168" t="s">
        <v>89</v>
      </c>
      <c r="C26" s="159">
        <v>-37527</v>
      </c>
      <c r="D26" s="159">
        <v>-45758</v>
      </c>
      <c r="E26" s="159">
        <v>-37979</v>
      </c>
      <c r="F26" s="159">
        <v>-38034</v>
      </c>
      <c r="G26" s="159">
        <v>-18452</v>
      </c>
      <c r="H26" s="159">
        <v>-9987</v>
      </c>
      <c r="I26" s="159">
        <v>-13359</v>
      </c>
      <c r="J26" s="159">
        <v>-5094</v>
      </c>
      <c r="K26" s="159">
        <v>-12560</v>
      </c>
      <c r="L26" s="167">
        <v>-5277</v>
      </c>
      <c r="M26" s="159">
        <v>-479</v>
      </c>
      <c r="N26" s="159">
        <v>-1011</v>
      </c>
      <c r="O26" s="159">
        <v>-2961</v>
      </c>
      <c r="P26" s="159">
        <f t="shared" ref="P26:P36" si="32">J26-SUM(M26:O26)</f>
        <v>-643</v>
      </c>
      <c r="Q26" s="159">
        <v>-2010</v>
      </c>
      <c r="R26" s="159">
        <v>-2260</v>
      </c>
      <c r="S26" s="159">
        <v>-3865</v>
      </c>
      <c r="T26" s="159">
        <f t="shared" ref="T26:T36" si="33">I26-SUM(Q26:S26)</f>
        <v>-5224</v>
      </c>
      <c r="U26" s="159">
        <v>-1220</v>
      </c>
      <c r="V26" s="159">
        <v>-1424</v>
      </c>
      <c r="W26" s="159">
        <v>-4755</v>
      </c>
      <c r="X26" s="159">
        <f t="shared" ref="X26:X36" si="34">H26-SUM(U26:W26)</f>
        <v>-2588</v>
      </c>
      <c r="Y26" s="159">
        <v>-3205</v>
      </c>
      <c r="Z26" s="159">
        <f>-6537-Y26</f>
        <v>-3332</v>
      </c>
      <c r="AA26" s="159">
        <f>-12090-Z26-Y26</f>
        <v>-5553</v>
      </c>
      <c r="AB26" s="159">
        <f t="shared" ref="AB26:AB36" si="35">G26-SUM(Y26:AA26)</f>
        <v>-6362</v>
      </c>
      <c r="AC26" s="159">
        <v>-7428</v>
      </c>
      <c r="AD26" s="159">
        <f>-17784-AC26</f>
        <v>-10356</v>
      </c>
      <c r="AE26" s="159">
        <f>-28318-AD26-AC26</f>
        <v>-10534</v>
      </c>
      <c r="AF26" s="159">
        <f t="shared" ref="AF26:AF36" si="36">F26-SUM(AC26:AE26)</f>
        <v>-9716</v>
      </c>
      <c r="AG26" s="159">
        <v>-5377</v>
      </c>
      <c r="AH26" s="159">
        <f>-18974-AG26</f>
        <v>-13597</v>
      </c>
      <c r="AI26" s="159">
        <f>-30383-AH26-AG26</f>
        <v>-11409</v>
      </c>
      <c r="AJ26" s="159">
        <f t="shared" ref="AJ26:AJ36" si="37">E26-SUM(AG26:AI26)</f>
        <v>-7596</v>
      </c>
      <c r="AK26" s="159">
        <v>-21011</v>
      </c>
      <c r="AL26" s="159">
        <f>-29075-AK26</f>
        <v>-8064</v>
      </c>
      <c r="AM26" s="159">
        <f>-36155-AL26-AK26</f>
        <v>-7080</v>
      </c>
      <c r="AN26" s="159">
        <f t="shared" ref="AN26:AN36" si="38">D26-SUM(AK26:AM26)</f>
        <v>-9603</v>
      </c>
      <c r="AO26" s="159">
        <v>-9205</v>
      </c>
      <c r="AP26" s="159">
        <f>-18728-AO26</f>
        <v>-9523</v>
      </c>
      <c r="AQ26" s="159">
        <f>-28669-AP26-AO26</f>
        <v>-9941</v>
      </c>
      <c r="AR26" s="287">
        <f t="shared" ref="AR26:AS36" si="39">C26-SUM(AO26:AQ26)</f>
        <v>-8858</v>
      </c>
      <c r="AS26" s="167">
        <v>-3535</v>
      </c>
    </row>
    <row r="27" spans="1:45" ht="24.9" customHeight="1">
      <c r="A27" s="3"/>
      <c r="B27" s="168" t="s">
        <v>90</v>
      </c>
      <c r="C27" s="159">
        <v>395</v>
      </c>
      <c r="D27" s="159">
        <v>293</v>
      </c>
      <c r="E27" s="159">
        <v>124</v>
      </c>
      <c r="F27" s="159">
        <v>103</v>
      </c>
      <c r="G27" s="159">
        <v>271</v>
      </c>
      <c r="H27" s="159">
        <v>97</v>
      </c>
      <c r="I27" s="159">
        <v>105</v>
      </c>
      <c r="J27" s="159">
        <v>81</v>
      </c>
      <c r="K27" s="159">
        <v>42</v>
      </c>
      <c r="L27" s="167">
        <v>151</v>
      </c>
      <c r="M27" s="159">
        <v>0</v>
      </c>
      <c r="N27" s="159">
        <v>12</v>
      </c>
      <c r="O27" s="159">
        <v>-5</v>
      </c>
      <c r="P27" s="159">
        <f t="shared" si="32"/>
        <v>74</v>
      </c>
      <c r="Q27" s="159">
        <v>8</v>
      </c>
      <c r="R27" s="159">
        <v>46</v>
      </c>
      <c r="S27" s="159">
        <v>8</v>
      </c>
      <c r="T27" s="159">
        <f t="shared" si="33"/>
        <v>43</v>
      </c>
      <c r="U27" s="159">
        <v>13</v>
      </c>
      <c r="V27" s="159">
        <v>1</v>
      </c>
      <c r="W27" s="159">
        <v>1</v>
      </c>
      <c r="X27" s="159">
        <f t="shared" si="34"/>
        <v>82</v>
      </c>
      <c r="Y27" s="159">
        <v>61</v>
      </c>
      <c r="Z27" s="159">
        <f>132-Y27</f>
        <v>71</v>
      </c>
      <c r="AA27" s="159">
        <f>140-Z27-Y27</f>
        <v>8</v>
      </c>
      <c r="AB27" s="159">
        <f t="shared" si="35"/>
        <v>131</v>
      </c>
      <c r="AC27" s="159">
        <v>33</v>
      </c>
      <c r="AD27" s="159">
        <f>33-AC27</f>
        <v>0</v>
      </c>
      <c r="AE27" s="159">
        <f>79-AD27-AC27</f>
        <v>46</v>
      </c>
      <c r="AF27" s="159">
        <f t="shared" si="36"/>
        <v>24</v>
      </c>
      <c r="AG27" s="159">
        <v>85</v>
      </c>
      <c r="AH27" s="159">
        <f>90-AG27</f>
        <v>5</v>
      </c>
      <c r="AI27" s="159">
        <f>124-AH27-AG27</f>
        <v>34</v>
      </c>
      <c r="AJ27" s="159">
        <f t="shared" si="37"/>
        <v>0</v>
      </c>
      <c r="AK27" s="159">
        <v>36</v>
      </c>
      <c r="AL27" s="159">
        <f>36-AK27</f>
        <v>0</v>
      </c>
      <c r="AM27" s="159">
        <f>122-AL27-AK27</f>
        <v>86</v>
      </c>
      <c r="AN27" s="159">
        <f t="shared" si="38"/>
        <v>171</v>
      </c>
      <c r="AO27" s="159">
        <v>102</v>
      </c>
      <c r="AP27" s="159">
        <f>322-AO27</f>
        <v>220</v>
      </c>
      <c r="AQ27" s="159">
        <f>351-AP27-AO27</f>
        <v>29</v>
      </c>
      <c r="AR27" s="287">
        <f t="shared" si="39"/>
        <v>44</v>
      </c>
      <c r="AS27" s="167">
        <v>54</v>
      </c>
    </row>
    <row r="28" spans="1:45" ht="24.9" customHeight="1">
      <c r="A28" s="3"/>
      <c r="B28" s="168" t="s">
        <v>166</v>
      </c>
      <c r="C28" s="159">
        <v>3063</v>
      </c>
      <c r="D28" s="159">
        <v>0</v>
      </c>
      <c r="E28" s="159">
        <v>0</v>
      </c>
      <c r="F28" s="159">
        <v>0</v>
      </c>
      <c r="G28" s="159">
        <v>0</v>
      </c>
      <c r="H28" s="159">
        <v>0</v>
      </c>
      <c r="I28" s="159">
        <v>0</v>
      </c>
      <c r="J28" s="159">
        <v>0</v>
      </c>
      <c r="K28" s="159">
        <v>0</v>
      </c>
      <c r="L28" s="167">
        <v>0</v>
      </c>
      <c r="M28" s="159">
        <v>0</v>
      </c>
      <c r="N28" s="159">
        <v>0</v>
      </c>
      <c r="O28" s="159">
        <v>0</v>
      </c>
      <c r="P28" s="159">
        <v>0</v>
      </c>
      <c r="Q28" s="159">
        <v>0</v>
      </c>
      <c r="R28" s="159">
        <v>0</v>
      </c>
      <c r="S28" s="159">
        <v>0</v>
      </c>
      <c r="T28" s="159">
        <v>0</v>
      </c>
      <c r="U28" s="159">
        <v>0</v>
      </c>
      <c r="V28" s="159">
        <v>0</v>
      </c>
      <c r="W28" s="159">
        <v>0</v>
      </c>
      <c r="X28" s="159">
        <v>0</v>
      </c>
      <c r="Y28" s="159">
        <v>0</v>
      </c>
      <c r="Z28" s="159">
        <v>0</v>
      </c>
      <c r="AA28" s="159">
        <v>0</v>
      </c>
      <c r="AB28" s="159">
        <v>0</v>
      </c>
      <c r="AC28" s="159">
        <v>0</v>
      </c>
      <c r="AD28" s="159">
        <v>0</v>
      </c>
      <c r="AE28" s="159">
        <v>0</v>
      </c>
      <c r="AF28" s="159">
        <v>0</v>
      </c>
      <c r="AG28" s="159">
        <v>0</v>
      </c>
      <c r="AH28" s="159">
        <v>0</v>
      </c>
      <c r="AI28" s="159">
        <v>0</v>
      </c>
      <c r="AJ28" s="159">
        <v>0</v>
      </c>
      <c r="AK28" s="159">
        <v>0</v>
      </c>
      <c r="AL28" s="159">
        <v>0</v>
      </c>
      <c r="AM28" s="159">
        <v>0</v>
      </c>
      <c r="AN28" s="159">
        <v>0</v>
      </c>
      <c r="AO28" s="159">
        <v>0</v>
      </c>
      <c r="AP28" s="159">
        <v>0</v>
      </c>
      <c r="AQ28" s="159">
        <v>0</v>
      </c>
      <c r="AR28" s="287">
        <f t="shared" si="39"/>
        <v>3063</v>
      </c>
      <c r="AS28" s="167">
        <v>0</v>
      </c>
    </row>
    <row r="29" spans="1:45" ht="24.9" customHeight="1">
      <c r="A29" s="3"/>
      <c r="B29" s="168" t="s">
        <v>111</v>
      </c>
      <c r="C29" s="159">
        <v>0</v>
      </c>
      <c r="D29" s="159">
        <v>0</v>
      </c>
      <c r="E29" s="159">
        <v>0</v>
      </c>
      <c r="F29" s="159">
        <v>0</v>
      </c>
      <c r="G29" s="159">
        <v>0</v>
      </c>
      <c r="H29" s="159">
        <v>0</v>
      </c>
      <c r="I29" s="159">
        <v>0</v>
      </c>
      <c r="J29" s="159">
        <v>0</v>
      </c>
      <c r="K29" s="159">
        <v>0</v>
      </c>
      <c r="L29" s="167">
        <v>-110</v>
      </c>
      <c r="M29" s="159">
        <v>0</v>
      </c>
      <c r="N29" s="159">
        <v>0</v>
      </c>
      <c r="O29" s="159">
        <v>0</v>
      </c>
      <c r="P29" s="159">
        <f t="shared" si="32"/>
        <v>0</v>
      </c>
      <c r="Q29" s="159">
        <v>0</v>
      </c>
      <c r="R29" s="159">
        <v>0</v>
      </c>
      <c r="S29" s="159">
        <v>0</v>
      </c>
      <c r="T29" s="159">
        <f t="shared" si="33"/>
        <v>0</v>
      </c>
      <c r="U29" s="159">
        <v>0</v>
      </c>
      <c r="V29" s="159">
        <v>0</v>
      </c>
      <c r="W29" s="159">
        <v>0</v>
      </c>
      <c r="X29" s="159">
        <f t="shared" si="34"/>
        <v>0</v>
      </c>
      <c r="Y29" s="159">
        <v>0</v>
      </c>
      <c r="Z29" s="159">
        <v>0</v>
      </c>
      <c r="AA29" s="159">
        <v>0</v>
      </c>
      <c r="AB29" s="159">
        <f t="shared" si="35"/>
        <v>0</v>
      </c>
      <c r="AC29" s="159">
        <v>0</v>
      </c>
      <c r="AD29" s="159">
        <v>0</v>
      </c>
      <c r="AE29" s="159">
        <v>0</v>
      </c>
      <c r="AF29" s="159">
        <f t="shared" si="36"/>
        <v>0</v>
      </c>
      <c r="AG29" s="159">
        <v>0</v>
      </c>
      <c r="AH29" s="159">
        <v>0</v>
      </c>
      <c r="AI29" s="159">
        <v>0</v>
      </c>
      <c r="AJ29" s="159">
        <f t="shared" si="37"/>
        <v>0</v>
      </c>
      <c r="AK29" s="159">
        <v>0</v>
      </c>
      <c r="AL29" s="159">
        <v>0</v>
      </c>
      <c r="AM29" s="159">
        <v>0</v>
      </c>
      <c r="AN29" s="159">
        <f t="shared" si="38"/>
        <v>0</v>
      </c>
      <c r="AO29" s="159">
        <v>0</v>
      </c>
      <c r="AP29" s="159">
        <v>0</v>
      </c>
      <c r="AQ29" s="159">
        <v>0</v>
      </c>
      <c r="AR29" s="287">
        <f t="shared" si="39"/>
        <v>0</v>
      </c>
      <c r="AS29" s="167">
        <v>0</v>
      </c>
    </row>
    <row r="30" spans="1:45" ht="24.9" customHeight="1">
      <c r="A30" s="3"/>
      <c r="B30" s="168" t="s">
        <v>112</v>
      </c>
      <c r="C30" s="159">
        <v>0</v>
      </c>
      <c r="D30" s="159">
        <v>0</v>
      </c>
      <c r="E30" s="159">
        <v>0</v>
      </c>
      <c r="F30" s="159">
        <v>0</v>
      </c>
      <c r="G30" s="159">
        <v>0</v>
      </c>
      <c r="H30" s="159">
        <v>0</v>
      </c>
      <c r="I30" s="159">
        <v>0</v>
      </c>
      <c r="J30" s="159">
        <v>0</v>
      </c>
      <c r="K30" s="159">
        <v>0</v>
      </c>
      <c r="L30" s="167">
        <v>0</v>
      </c>
      <c r="M30" s="159">
        <v>0</v>
      </c>
      <c r="N30" s="159">
        <v>0</v>
      </c>
      <c r="O30" s="159">
        <v>0</v>
      </c>
      <c r="P30" s="159">
        <f t="shared" si="32"/>
        <v>0</v>
      </c>
      <c r="Q30" s="159">
        <v>0</v>
      </c>
      <c r="R30" s="159">
        <v>0</v>
      </c>
      <c r="S30" s="159">
        <v>0</v>
      </c>
      <c r="T30" s="159">
        <f t="shared" si="33"/>
        <v>0</v>
      </c>
      <c r="U30" s="159">
        <v>0</v>
      </c>
      <c r="V30" s="159">
        <v>0</v>
      </c>
      <c r="W30" s="159">
        <v>0</v>
      </c>
      <c r="X30" s="159">
        <f t="shared" si="34"/>
        <v>0</v>
      </c>
      <c r="Y30" s="159">
        <v>0</v>
      </c>
      <c r="Z30" s="159">
        <v>0</v>
      </c>
      <c r="AA30" s="159">
        <v>0</v>
      </c>
      <c r="AB30" s="159">
        <f t="shared" si="35"/>
        <v>0</v>
      </c>
      <c r="AC30" s="159">
        <v>0</v>
      </c>
      <c r="AD30" s="159">
        <v>0</v>
      </c>
      <c r="AE30" s="159">
        <v>0</v>
      </c>
      <c r="AF30" s="159">
        <f t="shared" si="36"/>
        <v>0</v>
      </c>
      <c r="AG30" s="159">
        <v>0</v>
      </c>
      <c r="AH30" s="159">
        <v>0</v>
      </c>
      <c r="AI30" s="159">
        <v>0</v>
      </c>
      <c r="AJ30" s="159">
        <f t="shared" si="37"/>
        <v>0</v>
      </c>
      <c r="AK30" s="159">
        <v>0</v>
      </c>
      <c r="AL30" s="159">
        <v>0</v>
      </c>
      <c r="AM30" s="159">
        <v>0</v>
      </c>
      <c r="AN30" s="159">
        <f t="shared" si="38"/>
        <v>0</v>
      </c>
      <c r="AO30" s="159">
        <v>0</v>
      </c>
      <c r="AP30" s="159">
        <v>0</v>
      </c>
      <c r="AQ30" s="159">
        <v>0</v>
      </c>
      <c r="AR30" s="287">
        <f t="shared" si="39"/>
        <v>0</v>
      </c>
      <c r="AS30" s="167">
        <v>0</v>
      </c>
    </row>
    <row r="31" spans="1:45">
      <c r="A31" s="2"/>
      <c r="B31" s="168" t="s">
        <v>91</v>
      </c>
      <c r="C31" s="159">
        <v>-4207</v>
      </c>
      <c r="D31" s="159">
        <v>-3260</v>
      </c>
      <c r="E31" s="159">
        <v>-3537</v>
      </c>
      <c r="F31" s="159">
        <v>-3400</v>
      </c>
      <c r="G31" s="159">
        <v>-2394</v>
      </c>
      <c r="H31" s="159">
        <v>0</v>
      </c>
      <c r="I31" s="159">
        <v>-115</v>
      </c>
      <c r="J31" s="159">
        <v>-199</v>
      </c>
      <c r="K31" s="159">
        <v>-2256</v>
      </c>
      <c r="L31" s="167">
        <v>-90</v>
      </c>
      <c r="M31" s="159">
        <v>-149</v>
      </c>
      <c r="N31" s="159">
        <v>-50</v>
      </c>
      <c r="O31" s="159">
        <v>0</v>
      </c>
      <c r="P31" s="159">
        <f t="shared" si="32"/>
        <v>0</v>
      </c>
      <c r="Q31" s="159">
        <v>-110</v>
      </c>
      <c r="R31" s="159">
        <v>-5</v>
      </c>
      <c r="S31" s="159">
        <v>0</v>
      </c>
      <c r="T31" s="159">
        <f t="shared" si="33"/>
        <v>0</v>
      </c>
      <c r="U31" s="159">
        <v>0</v>
      </c>
      <c r="V31" s="159">
        <v>0</v>
      </c>
      <c r="W31" s="159">
        <v>0</v>
      </c>
      <c r="X31" s="159">
        <f t="shared" si="34"/>
        <v>0</v>
      </c>
      <c r="Y31" s="159">
        <v>-2384</v>
      </c>
      <c r="Z31" s="159">
        <f>2410-Y31</f>
        <v>4794</v>
      </c>
      <c r="AA31" s="159">
        <f>-2394-Z31-Y31</f>
        <v>-4804</v>
      </c>
      <c r="AB31" s="159">
        <f t="shared" si="35"/>
        <v>0</v>
      </c>
      <c r="AC31" s="159">
        <v>-3399</v>
      </c>
      <c r="AD31" s="159">
        <f>-3400-AC31</f>
        <v>-1</v>
      </c>
      <c r="AE31" s="159">
        <f>-3400-AD31-AC31</f>
        <v>0</v>
      </c>
      <c r="AF31" s="159">
        <f t="shared" si="36"/>
        <v>0</v>
      </c>
      <c r="AG31" s="159">
        <v>-3537</v>
      </c>
      <c r="AH31" s="159">
        <f>-3537-AG31</f>
        <v>0</v>
      </c>
      <c r="AI31" s="159">
        <f>-3537-AH31-AG31</f>
        <v>0</v>
      </c>
      <c r="AJ31" s="159">
        <f t="shared" si="37"/>
        <v>0</v>
      </c>
      <c r="AK31" s="159">
        <v>-3260</v>
      </c>
      <c r="AL31" s="159">
        <f>-3260-AK31</f>
        <v>0</v>
      </c>
      <c r="AM31" s="159">
        <f>-3260-AL31-AK31</f>
        <v>0</v>
      </c>
      <c r="AN31" s="159">
        <f t="shared" si="38"/>
        <v>0</v>
      </c>
      <c r="AO31" s="159">
        <v>-4207</v>
      </c>
      <c r="AP31" s="159">
        <f>-4207-AO31</f>
        <v>0</v>
      </c>
      <c r="AQ31" s="159">
        <f>-4207-AP31-AO31</f>
        <v>0</v>
      </c>
      <c r="AR31" s="287">
        <f t="shared" si="39"/>
        <v>0</v>
      </c>
      <c r="AS31" s="167">
        <v>-2107</v>
      </c>
    </row>
    <row r="32" spans="1:45" ht="24.9" customHeight="1">
      <c r="A32" s="2"/>
      <c r="B32" s="168" t="s">
        <v>92</v>
      </c>
      <c r="C32" s="159">
        <v>4256</v>
      </c>
      <c r="D32" s="159">
        <v>3210</v>
      </c>
      <c r="E32" s="159">
        <v>3541</v>
      </c>
      <c r="F32" s="159">
        <v>3612</v>
      </c>
      <c r="G32" s="159">
        <v>2416</v>
      </c>
      <c r="H32" s="159">
        <v>30</v>
      </c>
      <c r="I32" s="159">
        <v>59</v>
      </c>
      <c r="J32" s="159">
        <v>193</v>
      </c>
      <c r="K32" s="159">
        <v>2280</v>
      </c>
      <c r="L32" s="167">
        <v>88</v>
      </c>
      <c r="M32" s="159">
        <v>33</v>
      </c>
      <c r="N32" s="159">
        <v>48</v>
      </c>
      <c r="O32" s="159">
        <v>59</v>
      </c>
      <c r="P32" s="159">
        <f t="shared" si="32"/>
        <v>53</v>
      </c>
      <c r="Q32" s="159">
        <v>27</v>
      </c>
      <c r="R32" s="159">
        <v>40</v>
      </c>
      <c r="S32" s="159">
        <v>-30</v>
      </c>
      <c r="T32" s="159">
        <f t="shared" si="33"/>
        <v>22</v>
      </c>
      <c r="U32" s="159">
        <v>25</v>
      </c>
      <c r="V32" s="159">
        <v>2</v>
      </c>
      <c r="W32" s="159">
        <v>1</v>
      </c>
      <c r="X32" s="159">
        <f t="shared" si="34"/>
        <v>2</v>
      </c>
      <c r="Y32" s="159">
        <v>2</v>
      </c>
      <c r="Z32" s="159">
        <f>-2384-Y32</f>
        <v>-2386</v>
      </c>
      <c r="AA32" s="159">
        <f>2413-Z32-Y32</f>
        <v>4797</v>
      </c>
      <c r="AB32" s="159">
        <f t="shared" si="35"/>
        <v>3</v>
      </c>
      <c r="AC32" s="159">
        <v>6</v>
      </c>
      <c r="AD32" s="159">
        <f>14-AC32</f>
        <v>8</v>
      </c>
      <c r="AE32" s="159">
        <f>3611-AD32-AC32</f>
        <v>3597</v>
      </c>
      <c r="AF32" s="159">
        <f t="shared" si="36"/>
        <v>1</v>
      </c>
      <c r="AG32" s="159">
        <v>1</v>
      </c>
      <c r="AH32" s="159">
        <f>3539-AG32</f>
        <v>3538</v>
      </c>
      <c r="AI32" s="159">
        <f>3540-AH32-AG32</f>
        <v>1</v>
      </c>
      <c r="AJ32" s="159">
        <f t="shared" si="37"/>
        <v>1</v>
      </c>
      <c r="AK32" s="159">
        <v>0</v>
      </c>
      <c r="AL32" s="159">
        <v>0</v>
      </c>
      <c r="AM32" s="159">
        <f>3210-AL32-AK32</f>
        <v>3210</v>
      </c>
      <c r="AN32" s="159">
        <f t="shared" si="38"/>
        <v>0</v>
      </c>
      <c r="AO32" s="159">
        <v>0</v>
      </c>
      <c r="AP32" s="159">
        <v>0</v>
      </c>
      <c r="AQ32" s="159">
        <f>4256-AP32-AO32</f>
        <v>4256</v>
      </c>
      <c r="AR32" s="287">
        <f t="shared" si="39"/>
        <v>0</v>
      </c>
      <c r="AS32" s="167">
        <v>0</v>
      </c>
    </row>
    <row r="33" spans="1:45" ht="24.9" customHeight="1">
      <c r="A33" s="2"/>
      <c r="B33" s="168" t="s">
        <v>93</v>
      </c>
      <c r="C33" s="159">
        <v>0</v>
      </c>
      <c r="D33" s="159">
        <v>0</v>
      </c>
      <c r="E33" s="159">
        <v>0</v>
      </c>
      <c r="F33" s="159">
        <v>5</v>
      </c>
      <c r="G33" s="159">
        <v>9</v>
      </c>
      <c r="H33" s="159">
        <v>9</v>
      </c>
      <c r="I33" s="159">
        <v>199</v>
      </c>
      <c r="J33" s="159">
        <v>214</v>
      </c>
      <c r="K33" s="159">
        <v>187</v>
      </c>
      <c r="L33" s="167">
        <v>187</v>
      </c>
      <c r="M33" s="159">
        <v>0</v>
      </c>
      <c r="N33" s="159">
        <v>1</v>
      </c>
      <c r="O33" s="159">
        <v>-1</v>
      </c>
      <c r="P33" s="159">
        <f t="shared" si="32"/>
        <v>214</v>
      </c>
      <c r="Q33" s="159">
        <v>3</v>
      </c>
      <c r="R33" s="159">
        <v>3</v>
      </c>
      <c r="S33" s="159">
        <v>3</v>
      </c>
      <c r="T33" s="159">
        <f t="shared" si="33"/>
        <v>190</v>
      </c>
      <c r="U33" s="159">
        <v>2</v>
      </c>
      <c r="V33" s="159">
        <v>2</v>
      </c>
      <c r="W33" s="159">
        <v>3</v>
      </c>
      <c r="X33" s="159">
        <f t="shared" si="34"/>
        <v>2</v>
      </c>
      <c r="Y33" s="159">
        <v>2</v>
      </c>
      <c r="Z33" s="159">
        <f>5-Y33</f>
        <v>3</v>
      </c>
      <c r="AA33" s="159">
        <f>7-Z33-Y33</f>
        <v>2</v>
      </c>
      <c r="AB33" s="159">
        <f t="shared" si="35"/>
        <v>2</v>
      </c>
      <c r="AC33" s="159">
        <v>3</v>
      </c>
      <c r="AD33" s="159">
        <f>5-AC33</f>
        <v>2</v>
      </c>
      <c r="AE33" s="159">
        <f>5-AD33-AC33</f>
        <v>0</v>
      </c>
      <c r="AF33" s="159">
        <f t="shared" si="36"/>
        <v>0</v>
      </c>
      <c r="AG33" s="159">
        <v>0</v>
      </c>
      <c r="AH33" s="159">
        <v>0</v>
      </c>
      <c r="AI33" s="159">
        <v>0</v>
      </c>
      <c r="AJ33" s="159">
        <f t="shared" si="37"/>
        <v>0</v>
      </c>
      <c r="AK33" s="159">
        <v>0</v>
      </c>
      <c r="AL33" s="159">
        <v>0</v>
      </c>
      <c r="AM33" s="159">
        <v>0</v>
      </c>
      <c r="AN33" s="159">
        <f t="shared" si="38"/>
        <v>0</v>
      </c>
      <c r="AO33" s="159">
        <v>0</v>
      </c>
      <c r="AP33" s="159">
        <v>0</v>
      </c>
      <c r="AQ33" s="159">
        <v>0</v>
      </c>
      <c r="AR33" s="287">
        <f t="shared" si="39"/>
        <v>0</v>
      </c>
      <c r="AS33" s="167">
        <v>0</v>
      </c>
    </row>
    <row r="34" spans="1:45" ht="24.9" customHeight="1">
      <c r="A34" s="2"/>
      <c r="B34" s="168" t="s">
        <v>94</v>
      </c>
      <c r="C34" s="159">
        <v>285</v>
      </c>
      <c r="D34" s="159">
        <v>122</v>
      </c>
      <c r="E34" s="159">
        <v>104</v>
      </c>
      <c r="F34" s="159">
        <v>80</v>
      </c>
      <c r="G34" s="159">
        <v>60</v>
      </c>
      <c r="H34" s="159">
        <v>8</v>
      </c>
      <c r="I34" s="159">
        <v>21</v>
      </c>
      <c r="J34" s="159">
        <v>28</v>
      </c>
      <c r="K34" s="159">
        <v>64</v>
      </c>
      <c r="L34" s="167">
        <v>42</v>
      </c>
      <c r="M34" s="159">
        <v>2</v>
      </c>
      <c r="N34" s="159">
        <v>0</v>
      </c>
      <c r="O34" s="159">
        <v>8</v>
      </c>
      <c r="P34" s="159">
        <f t="shared" si="32"/>
        <v>18</v>
      </c>
      <c r="Q34" s="159">
        <v>1</v>
      </c>
      <c r="R34" s="159">
        <v>6</v>
      </c>
      <c r="S34" s="159">
        <v>0</v>
      </c>
      <c r="T34" s="159">
        <f t="shared" si="33"/>
        <v>14</v>
      </c>
      <c r="U34" s="159">
        <v>3</v>
      </c>
      <c r="V34" s="159">
        <v>1</v>
      </c>
      <c r="W34" s="159">
        <v>3</v>
      </c>
      <c r="X34" s="159">
        <f t="shared" si="34"/>
        <v>1</v>
      </c>
      <c r="Y34" s="159">
        <v>0</v>
      </c>
      <c r="Z34" s="159">
        <f>58-Y34</f>
        <v>58</v>
      </c>
      <c r="AA34" s="159">
        <f>58-Z34-Y34</f>
        <v>0</v>
      </c>
      <c r="AB34" s="159">
        <f t="shared" si="35"/>
        <v>2</v>
      </c>
      <c r="AC34" s="159">
        <v>0</v>
      </c>
      <c r="AD34" s="159">
        <f>1-AC34</f>
        <v>1</v>
      </c>
      <c r="AE34" s="159">
        <f>80-AD34-AC34</f>
        <v>79</v>
      </c>
      <c r="AF34" s="159">
        <f t="shared" si="36"/>
        <v>0</v>
      </c>
      <c r="AG34" s="159">
        <v>0</v>
      </c>
      <c r="AH34" s="159">
        <v>0</v>
      </c>
      <c r="AI34" s="159">
        <f>104-AH34-AG34</f>
        <v>104</v>
      </c>
      <c r="AJ34" s="159">
        <f t="shared" si="37"/>
        <v>0</v>
      </c>
      <c r="AK34" s="159">
        <v>0</v>
      </c>
      <c r="AL34" s="159">
        <v>0</v>
      </c>
      <c r="AM34" s="159">
        <f>122-AL34-AK34</f>
        <v>122</v>
      </c>
      <c r="AN34" s="159">
        <f t="shared" si="38"/>
        <v>0</v>
      </c>
      <c r="AO34" s="159">
        <v>0</v>
      </c>
      <c r="AP34" s="159">
        <v>0</v>
      </c>
      <c r="AQ34" s="159">
        <f>87-AP34-AO34</f>
        <v>87</v>
      </c>
      <c r="AR34" s="287">
        <f t="shared" si="39"/>
        <v>198</v>
      </c>
      <c r="AS34" s="167">
        <v>29</v>
      </c>
    </row>
    <row r="35" spans="1:45" ht="24.9" customHeight="1">
      <c r="A35" s="2"/>
      <c r="B35" s="119" t="s">
        <v>95</v>
      </c>
      <c r="C35" s="159">
        <v>0</v>
      </c>
      <c r="D35" s="159">
        <v>0</v>
      </c>
      <c r="E35" s="159">
        <v>0</v>
      </c>
      <c r="F35" s="159">
        <v>0</v>
      </c>
      <c r="G35" s="159">
        <v>0</v>
      </c>
      <c r="H35" s="159">
        <v>8</v>
      </c>
      <c r="I35" s="159">
        <v>0</v>
      </c>
      <c r="J35" s="159">
        <v>1063</v>
      </c>
      <c r="K35" s="159">
        <v>193</v>
      </c>
      <c r="L35" s="167">
        <v>4794</v>
      </c>
      <c r="M35" s="159">
        <v>1</v>
      </c>
      <c r="N35" s="159">
        <v>1003</v>
      </c>
      <c r="O35" s="159">
        <v>0</v>
      </c>
      <c r="P35" s="159">
        <f t="shared" si="32"/>
        <v>59</v>
      </c>
      <c r="Q35" s="159">
        <v>0</v>
      </c>
      <c r="R35" s="159">
        <v>0</v>
      </c>
      <c r="S35" s="159">
        <v>0</v>
      </c>
      <c r="T35" s="159">
        <f t="shared" si="33"/>
        <v>0</v>
      </c>
      <c r="U35" s="159">
        <v>0</v>
      </c>
      <c r="V35" s="159">
        <v>0</v>
      </c>
      <c r="W35" s="159">
        <v>8</v>
      </c>
      <c r="X35" s="159">
        <f t="shared" si="34"/>
        <v>0</v>
      </c>
      <c r="Y35" s="159">
        <v>0</v>
      </c>
      <c r="Z35" s="159">
        <v>0</v>
      </c>
      <c r="AA35" s="159">
        <v>0</v>
      </c>
      <c r="AB35" s="159">
        <f t="shared" si="35"/>
        <v>0</v>
      </c>
      <c r="AC35" s="159">
        <v>0</v>
      </c>
      <c r="AD35" s="159">
        <v>0</v>
      </c>
      <c r="AE35" s="159">
        <v>0</v>
      </c>
      <c r="AF35" s="159">
        <f t="shared" si="36"/>
        <v>0</v>
      </c>
      <c r="AG35" s="159">
        <v>0</v>
      </c>
      <c r="AH35" s="159">
        <v>0</v>
      </c>
      <c r="AI35" s="159">
        <v>0</v>
      </c>
      <c r="AJ35" s="159">
        <f t="shared" si="37"/>
        <v>0</v>
      </c>
      <c r="AK35" s="159">
        <v>0</v>
      </c>
      <c r="AL35" s="159">
        <v>0</v>
      </c>
      <c r="AM35" s="159">
        <v>0</v>
      </c>
      <c r="AN35" s="159">
        <f t="shared" si="38"/>
        <v>0</v>
      </c>
      <c r="AO35" s="159">
        <v>0</v>
      </c>
      <c r="AP35" s="159">
        <v>0</v>
      </c>
      <c r="AQ35" s="159">
        <v>0</v>
      </c>
      <c r="AR35" s="287">
        <f t="shared" si="39"/>
        <v>0</v>
      </c>
      <c r="AS35" s="167">
        <v>0</v>
      </c>
    </row>
    <row r="36" spans="1:45" ht="24.9" customHeight="1">
      <c r="A36" s="2"/>
      <c r="B36" s="119" t="s">
        <v>96</v>
      </c>
      <c r="C36" s="159">
        <v>0</v>
      </c>
      <c r="D36" s="159">
        <v>0</v>
      </c>
      <c r="E36" s="159">
        <v>0</v>
      </c>
      <c r="F36" s="159">
        <v>0</v>
      </c>
      <c r="G36" s="159">
        <v>0</v>
      </c>
      <c r="H36" s="159">
        <v>-436</v>
      </c>
      <c r="I36" s="159">
        <v>0</v>
      </c>
      <c r="J36" s="159">
        <v>-1461</v>
      </c>
      <c r="K36" s="159">
        <v>-3923</v>
      </c>
      <c r="L36" s="167">
        <v>-516</v>
      </c>
      <c r="M36" s="159">
        <v>-1361</v>
      </c>
      <c r="N36" s="159">
        <v>-100</v>
      </c>
      <c r="O36" s="159">
        <v>0</v>
      </c>
      <c r="P36" s="159">
        <f t="shared" si="32"/>
        <v>0</v>
      </c>
      <c r="Q36" s="159">
        <v>0</v>
      </c>
      <c r="R36" s="159">
        <v>0</v>
      </c>
      <c r="S36" s="159">
        <v>0</v>
      </c>
      <c r="T36" s="159">
        <f t="shared" si="33"/>
        <v>0</v>
      </c>
      <c r="U36" s="159">
        <v>0</v>
      </c>
      <c r="V36" s="159">
        <v>0</v>
      </c>
      <c r="W36" s="159">
        <v>-141</v>
      </c>
      <c r="X36" s="159">
        <f t="shared" si="34"/>
        <v>-295</v>
      </c>
      <c r="Y36" s="159">
        <v>0</v>
      </c>
      <c r="Z36" s="159">
        <v>0</v>
      </c>
      <c r="AA36" s="159">
        <v>0</v>
      </c>
      <c r="AB36" s="159">
        <f t="shared" si="35"/>
        <v>0</v>
      </c>
      <c r="AC36" s="159">
        <v>0</v>
      </c>
      <c r="AD36" s="159">
        <v>0</v>
      </c>
      <c r="AE36" s="159">
        <v>0</v>
      </c>
      <c r="AF36" s="159">
        <f t="shared" si="36"/>
        <v>0</v>
      </c>
      <c r="AG36" s="159">
        <v>0</v>
      </c>
      <c r="AH36" s="159">
        <v>0</v>
      </c>
      <c r="AI36" s="159">
        <v>0</v>
      </c>
      <c r="AJ36" s="159">
        <f t="shared" si="37"/>
        <v>0</v>
      </c>
      <c r="AK36" s="159">
        <v>0</v>
      </c>
      <c r="AL36" s="159">
        <v>0</v>
      </c>
      <c r="AM36" s="159">
        <v>0</v>
      </c>
      <c r="AN36" s="159">
        <f t="shared" si="38"/>
        <v>0</v>
      </c>
      <c r="AO36" s="159">
        <v>0</v>
      </c>
      <c r="AP36" s="159">
        <v>0</v>
      </c>
      <c r="AQ36" s="159">
        <v>0</v>
      </c>
      <c r="AR36" s="287">
        <f t="shared" si="39"/>
        <v>0</v>
      </c>
      <c r="AS36" s="167">
        <v>0</v>
      </c>
    </row>
    <row r="37" spans="1:45" ht="24.9" customHeight="1">
      <c r="A37" s="4"/>
      <c r="B37" s="171" t="s">
        <v>97</v>
      </c>
      <c r="C37" s="49">
        <f t="shared" ref="C37:W37" si="40">SUM(C26:C36)</f>
        <v>-33735</v>
      </c>
      <c r="D37" s="49">
        <f t="shared" si="40"/>
        <v>-45393</v>
      </c>
      <c r="E37" s="49">
        <f t="shared" si="40"/>
        <v>-37747</v>
      </c>
      <c r="F37" s="49">
        <f t="shared" si="40"/>
        <v>-37634</v>
      </c>
      <c r="G37" s="49">
        <f t="shared" si="40"/>
        <v>-18090</v>
      </c>
      <c r="H37" s="49">
        <f t="shared" si="40"/>
        <v>-10271</v>
      </c>
      <c r="I37" s="49">
        <f t="shared" si="40"/>
        <v>-13090</v>
      </c>
      <c r="J37" s="49">
        <f t="shared" si="40"/>
        <v>-5175</v>
      </c>
      <c r="K37" s="49">
        <f t="shared" si="40"/>
        <v>-15973</v>
      </c>
      <c r="L37" s="173">
        <f t="shared" si="40"/>
        <v>-731</v>
      </c>
      <c r="M37" s="49">
        <f t="shared" si="40"/>
        <v>-1953</v>
      </c>
      <c r="N37" s="49">
        <f t="shared" si="40"/>
        <v>-97</v>
      </c>
      <c r="O37" s="49">
        <f t="shared" si="40"/>
        <v>-2900</v>
      </c>
      <c r="P37" s="49">
        <f t="shared" si="40"/>
        <v>-225</v>
      </c>
      <c r="Q37" s="49">
        <f t="shared" si="40"/>
        <v>-2081</v>
      </c>
      <c r="R37" s="49">
        <f t="shared" si="40"/>
        <v>-2170</v>
      </c>
      <c r="S37" s="49">
        <f t="shared" si="40"/>
        <v>-3884</v>
      </c>
      <c r="T37" s="49">
        <f t="shared" si="40"/>
        <v>-4955</v>
      </c>
      <c r="U37" s="49">
        <f t="shared" si="40"/>
        <v>-1177</v>
      </c>
      <c r="V37" s="49">
        <f t="shared" si="40"/>
        <v>-1418</v>
      </c>
      <c r="W37" s="49">
        <f t="shared" si="40"/>
        <v>-4880</v>
      </c>
      <c r="X37" s="49">
        <f t="shared" ref="X37:Z37" si="41">SUM(X26:X36)</f>
        <v>-2796</v>
      </c>
      <c r="Y37" s="49">
        <f t="shared" si="41"/>
        <v>-5524</v>
      </c>
      <c r="Z37" s="49">
        <f t="shared" si="41"/>
        <v>-792</v>
      </c>
      <c r="AA37" s="49">
        <f t="shared" ref="AA37:AG37" si="42">SUM(AA26:AA36)</f>
        <v>-5550</v>
      </c>
      <c r="AB37" s="49">
        <f t="shared" si="42"/>
        <v>-6224</v>
      </c>
      <c r="AC37" s="49">
        <f t="shared" si="42"/>
        <v>-10785</v>
      </c>
      <c r="AD37" s="49">
        <f t="shared" si="42"/>
        <v>-10346</v>
      </c>
      <c r="AE37" s="49">
        <f t="shared" si="42"/>
        <v>-6812</v>
      </c>
      <c r="AF37" s="49">
        <f t="shared" si="42"/>
        <v>-9691</v>
      </c>
      <c r="AG37" s="49">
        <f t="shared" si="42"/>
        <v>-8828</v>
      </c>
      <c r="AH37" s="49">
        <f t="shared" ref="AH37:AI37" si="43">SUM(AH26:AH36)</f>
        <v>-10054</v>
      </c>
      <c r="AI37" s="49">
        <f t="shared" si="43"/>
        <v>-11270</v>
      </c>
      <c r="AJ37" s="49">
        <f t="shared" ref="AJ37:AK37" si="44">SUM(AJ26:AJ36)</f>
        <v>-7595</v>
      </c>
      <c r="AK37" s="49">
        <f t="shared" si="44"/>
        <v>-24235</v>
      </c>
      <c r="AL37" s="49">
        <f t="shared" ref="AL37:AM37" si="45">SUM(AL26:AL36)</f>
        <v>-8064</v>
      </c>
      <c r="AM37" s="49">
        <f t="shared" si="45"/>
        <v>-3662</v>
      </c>
      <c r="AN37" s="49">
        <f t="shared" ref="AN37:AO37" si="46">SUM(AN26:AN36)</f>
        <v>-9432</v>
      </c>
      <c r="AO37" s="49">
        <f t="shared" si="46"/>
        <v>-13310</v>
      </c>
      <c r="AP37" s="49">
        <f t="shared" ref="AP37:AQ37" si="47">SUM(AP26:AP36)</f>
        <v>-9303</v>
      </c>
      <c r="AQ37" s="49">
        <f t="shared" si="47"/>
        <v>-5569</v>
      </c>
      <c r="AR37" s="49">
        <f t="shared" ref="AR37:AS37" si="48">SUM(AR26:AR36)</f>
        <v>-5553</v>
      </c>
      <c r="AS37" s="173">
        <f t="shared" si="48"/>
        <v>-5559</v>
      </c>
    </row>
    <row r="38" spans="1:45" ht="24.9" customHeight="1">
      <c r="A38" s="2"/>
      <c r="B38" s="168"/>
      <c r="C38" s="198"/>
      <c r="D38" s="198"/>
      <c r="E38" s="198"/>
      <c r="F38" s="198"/>
      <c r="G38" s="198"/>
      <c r="H38" s="198"/>
      <c r="I38" s="198"/>
      <c r="J38" s="42"/>
      <c r="K38" s="42"/>
      <c r="L38" s="13"/>
      <c r="M38" s="159"/>
      <c r="N38" s="99"/>
      <c r="O38" s="25"/>
      <c r="P38" s="151"/>
      <c r="Q38" s="152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289"/>
      <c r="AS38" s="219"/>
    </row>
    <row r="39" spans="1:45" ht="24.9" customHeight="1">
      <c r="A39" s="3"/>
      <c r="B39" s="111" t="s">
        <v>98</v>
      </c>
      <c r="C39" s="180"/>
      <c r="D39" s="180"/>
      <c r="E39" s="180"/>
      <c r="F39" s="180"/>
      <c r="G39" s="180"/>
      <c r="H39" s="180"/>
      <c r="I39" s="180"/>
      <c r="J39" s="42"/>
      <c r="K39" s="42"/>
      <c r="L39" s="118"/>
      <c r="M39" s="158"/>
      <c r="N39" s="153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88"/>
      <c r="AS39" s="218"/>
    </row>
    <row r="40" spans="1:45" ht="24.9" customHeight="1">
      <c r="A40" s="1"/>
      <c r="B40" s="168" t="s">
        <v>99</v>
      </c>
      <c r="C40" s="159">
        <v>0</v>
      </c>
      <c r="D40" s="159">
        <v>0</v>
      </c>
      <c r="E40" s="159">
        <v>0</v>
      </c>
      <c r="F40" s="159">
        <v>0</v>
      </c>
      <c r="G40" s="159">
        <v>0</v>
      </c>
      <c r="H40" s="159">
        <v>0</v>
      </c>
      <c r="I40" s="159">
        <v>980</v>
      </c>
      <c r="J40" s="159">
        <v>1336</v>
      </c>
      <c r="K40" s="159">
        <v>58377</v>
      </c>
      <c r="L40" s="167">
        <v>50600</v>
      </c>
      <c r="M40" s="159">
        <v>0</v>
      </c>
      <c r="N40" s="159">
        <v>1336</v>
      </c>
      <c r="O40" s="159">
        <v>0</v>
      </c>
      <c r="P40" s="159">
        <f t="shared" ref="P40:P51" si="49">J40-SUM(M40:O40)</f>
        <v>0</v>
      </c>
      <c r="Q40" s="159">
        <v>0</v>
      </c>
      <c r="R40" s="159">
        <v>980</v>
      </c>
      <c r="S40" s="159">
        <v>0</v>
      </c>
      <c r="T40" s="159">
        <f t="shared" ref="T40:T51" si="50">I40-SUM(Q40:S40)</f>
        <v>0</v>
      </c>
      <c r="U40" s="159">
        <v>0</v>
      </c>
      <c r="V40" s="159">
        <v>0</v>
      </c>
      <c r="W40" s="159">
        <v>0</v>
      </c>
      <c r="X40" s="159">
        <f t="shared" ref="X40:X51" si="51">H40-SUM(U40:W40)</f>
        <v>0</v>
      </c>
      <c r="Y40" s="159">
        <v>0</v>
      </c>
      <c r="Z40" s="159">
        <v>0</v>
      </c>
      <c r="AA40" s="159">
        <v>0</v>
      </c>
      <c r="AB40" s="159">
        <f t="shared" ref="AB40:AB51" si="52">G40-SUM(Y40:AA40)</f>
        <v>0</v>
      </c>
      <c r="AC40" s="159">
        <v>0</v>
      </c>
      <c r="AD40" s="159">
        <v>0</v>
      </c>
      <c r="AE40" s="159">
        <v>0</v>
      </c>
      <c r="AF40" s="159">
        <f t="shared" ref="AF40:AF51" si="53">F40-SUM(AC40:AE40)</f>
        <v>0</v>
      </c>
      <c r="AG40" s="159">
        <v>0</v>
      </c>
      <c r="AH40" s="159">
        <v>0</v>
      </c>
      <c r="AI40" s="159">
        <v>0</v>
      </c>
      <c r="AJ40" s="159">
        <f t="shared" ref="AJ40:AJ51" si="54">E40-SUM(AG40:AI40)</f>
        <v>0</v>
      </c>
      <c r="AK40" s="159">
        <v>0</v>
      </c>
      <c r="AL40" s="159">
        <v>0</v>
      </c>
      <c r="AM40" s="159">
        <v>0</v>
      </c>
      <c r="AN40" s="159">
        <f t="shared" ref="AN40:AN51" si="55">D40-SUM(AK40:AM40)</f>
        <v>0</v>
      </c>
      <c r="AO40" s="159">
        <v>0</v>
      </c>
      <c r="AP40" s="159">
        <v>0</v>
      </c>
      <c r="AQ40" s="159">
        <v>0</v>
      </c>
      <c r="AR40" s="287">
        <f t="shared" ref="AR40:AS51" si="56">C40-SUM(AO40:AQ40)</f>
        <v>0</v>
      </c>
      <c r="AS40" s="167">
        <v>0</v>
      </c>
    </row>
    <row r="41" spans="1:45" ht="24.9" customHeight="1">
      <c r="A41" s="2"/>
      <c r="B41" s="168" t="s">
        <v>100</v>
      </c>
      <c r="C41" s="159">
        <v>0</v>
      </c>
      <c r="D41" s="159">
        <v>0</v>
      </c>
      <c r="E41" s="159">
        <v>0</v>
      </c>
      <c r="F41" s="159">
        <v>0</v>
      </c>
      <c r="G41" s="159">
        <v>0</v>
      </c>
      <c r="H41" s="159">
        <v>0</v>
      </c>
      <c r="I41" s="159">
        <v>-38</v>
      </c>
      <c r="J41" s="159">
        <v>-38</v>
      </c>
      <c r="K41" s="159">
        <v>-66</v>
      </c>
      <c r="L41" s="167">
        <v>-1251</v>
      </c>
      <c r="M41" s="159">
        <v>0</v>
      </c>
      <c r="N41" s="159">
        <v>-38</v>
      </c>
      <c r="O41" s="159">
        <v>0</v>
      </c>
      <c r="P41" s="159">
        <f t="shared" si="49"/>
        <v>0</v>
      </c>
      <c r="Q41" s="159">
        <v>0</v>
      </c>
      <c r="R41" s="159">
        <v>0</v>
      </c>
      <c r="S41" s="159">
        <v>-38</v>
      </c>
      <c r="T41" s="159">
        <f t="shared" si="50"/>
        <v>0</v>
      </c>
      <c r="U41" s="159">
        <v>0</v>
      </c>
      <c r="V41" s="159">
        <v>0</v>
      </c>
      <c r="W41" s="159">
        <v>0</v>
      </c>
      <c r="X41" s="159">
        <f t="shared" si="51"/>
        <v>0</v>
      </c>
      <c r="Y41" s="159">
        <v>0</v>
      </c>
      <c r="Z41" s="159">
        <v>0</v>
      </c>
      <c r="AA41" s="159">
        <v>0</v>
      </c>
      <c r="AB41" s="159">
        <f t="shared" si="52"/>
        <v>0</v>
      </c>
      <c r="AC41" s="159">
        <v>0</v>
      </c>
      <c r="AD41" s="159">
        <v>0</v>
      </c>
      <c r="AE41" s="159">
        <v>0</v>
      </c>
      <c r="AF41" s="159">
        <f t="shared" si="53"/>
        <v>0</v>
      </c>
      <c r="AG41" s="159">
        <v>0</v>
      </c>
      <c r="AH41" s="159">
        <v>0</v>
      </c>
      <c r="AI41" s="159">
        <v>0</v>
      </c>
      <c r="AJ41" s="159">
        <f t="shared" si="54"/>
        <v>0</v>
      </c>
      <c r="AK41" s="159">
        <v>0</v>
      </c>
      <c r="AL41" s="159">
        <v>0</v>
      </c>
      <c r="AM41" s="159">
        <v>0</v>
      </c>
      <c r="AN41" s="159">
        <f t="shared" si="55"/>
        <v>0</v>
      </c>
      <c r="AO41" s="159">
        <v>0</v>
      </c>
      <c r="AP41" s="159">
        <v>0</v>
      </c>
      <c r="AQ41" s="159">
        <v>0</v>
      </c>
      <c r="AR41" s="287">
        <f t="shared" si="56"/>
        <v>0</v>
      </c>
      <c r="AS41" s="167">
        <v>0</v>
      </c>
    </row>
    <row r="42" spans="1:45" ht="24.9" customHeight="1">
      <c r="A42" s="2"/>
      <c r="B42" s="168" t="s">
        <v>123</v>
      </c>
      <c r="C42" s="159">
        <v>-19593</v>
      </c>
      <c r="D42" s="159">
        <v>-19593</v>
      </c>
      <c r="E42" s="159">
        <v>-19593</v>
      </c>
      <c r="F42" s="159">
        <v>-19593</v>
      </c>
      <c r="G42" s="159">
        <v>-13062</v>
      </c>
      <c r="H42" s="159">
        <v>0</v>
      </c>
      <c r="I42" s="159">
        <v>-2603</v>
      </c>
      <c r="J42" s="159">
        <v>0</v>
      </c>
      <c r="K42" s="159">
        <v>0</v>
      </c>
      <c r="L42" s="167">
        <v>0</v>
      </c>
      <c r="M42" s="159">
        <v>0</v>
      </c>
      <c r="N42" s="159">
        <v>0</v>
      </c>
      <c r="O42" s="159">
        <v>0</v>
      </c>
      <c r="P42" s="159">
        <f t="shared" si="49"/>
        <v>0</v>
      </c>
      <c r="Q42" s="159">
        <v>0</v>
      </c>
      <c r="R42" s="159">
        <v>-2603</v>
      </c>
      <c r="S42" s="159">
        <v>0</v>
      </c>
      <c r="T42" s="159">
        <f t="shared" si="50"/>
        <v>0</v>
      </c>
      <c r="U42" s="159">
        <v>0</v>
      </c>
      <c r="V42" s="159">
        <v>0</v>
      </c>
      <c r="W42" s="159">
        <v>0</v>
      </c>
      <c r="X42" s="159">
        <f t="shared" si="51"/>
        <v>0</v>
      </c>
      <c r="Y42" s="159">
        <v>0</v>
      </c>
      <c r="Z42" s="159">
        <f>-13062-Y42</f>
        <v>-13062</v>
      </c>
      <c r="AA42" s="159">
        <f>-13062-Z42-Y42</f>
        <v>0</v>
      </c>
      <c r="AB42" s="159">
        <f t="shared" si="52"/>
        <v>0</v>
      </c>
      <c r="AC42" s="159">
        <v>0</v>
      </c>
      <c r="AD42" s="159">
        <f>-19593-AC42</f>
        <v>-19593</v>
      </c>
      <c r="AE42" s="159">
        <f>-19593-AD42-AC42</f>
        <v>0</v>
      </c>
      <c r="AF42" s="159">
        <f t="shared" si="53"/>
        <v>0</v>
      </c>
      <c r="AG42" s="159">
        <v>0</v>
      </c>
      <c r="AH42" s="159">
        <f>-19593-AG42</f>
        <v>-19593</v>
      </c>
      <c r="AI42" s="159">
        <f>-19593-AH42-AG42</f>
        <v>0</v>
      </c>
      <c r="AJ42" s="159">
        <f t="shared" si="54"/>
        <v>0</v>
      </c>
      <c r="AK42" s="159">
        <v>0</v>
      </c>
      <c r="AL42" s="159">
        <f>-19593-AK42</f>
        <v>-19593</v>
      </c>
      <c r="AM42" s="159">
        <f>-19593-AL42-AK42</f>
        <v>0</v>
      </c>
      <c r="AN42" s="159">
        <f t="shared" si="55"/>
        <v>0</v>
      </c>
      <c r="AO42" s="159">
        <v>0</v>
      </c>
      <c r="AP42" s="159">
        <f>-19593-AO42</f>
        <v>-19593</v>
      </c>
      <c r="AQ42" s="159">
        <f>-19593-AP42-AO42</f>
        <v>0</v>
      </c>
      <c r="AR42" s="287">
        <f t="shared" si="56"/>
        <v>0</v>
      </c>
      <c r="AS42" s="167">
        <v>0</v>
      </c>
    </row>
    <row r="43" spans="1:45" ht="24.9" customHeight="1">
      <c r="A43" s="2"/>
      <c r="B43" s="168" t="s">
        <v>101</v>
      </c>
      <c r="C43" s="159">
        <v>0</v>
      </c>
      <c r="D43" s="159">
        <v>14677</v>
      </c>
      <c r="E43" s="159">
        <v>0</v>
      </c>
      <c r="F43" s="159">
        <v>86141</v>
      </c>
      <c r="G43" s="159">
        <v>158951</v>
      </c>
      <c r="H43" s="159">
        <v>0</v>
      </c>
      <c r="I43" s="159">
        <v>15024</v>
      </c>
      <c r="J43" s="159">
        <v>2323</v>
      </c>
      <c r="K43" s="159">
        <v>53585</v>
      </c>
      <c r="L43" s="167">
        <v>5734</v>
      </c>
      <c r="M43" s="159">
        <v>2138</v>
      </c>
      <c r="N43" s="159">
        <v>-2138</v>
      </c>
      <c r="O43" s="159">
        <v>892</v>
      </c>
      <c r="P43" s="159">
        <f t="shared" si="49"/>
        <v>1431</v>
      </c>
      <c r="Q43" s="159">
        <v>9995</v>
      </c>
      <c r="R43" s="159">
        <v>-9995</v>
      </c>
      <c r="S43" s="159">
        <v>9006</v>
      </c>
      <c r="T43" s="159">
        <f t="shared" si="50"/>
        <v>6018</v>
      </c>
      <c r="U43" s="159">
        <v>0</v>
      </c>
      <c r="V43" s="159">
        <v>0</v>
      </c>
      <c r="W43" s="159">
        <v>0</v>
      </c>
      <c r="X43" s="159">
        <f t="shared" si="51"/>
        <v>0</v>
      </c>
      <c r="Y43" s="159">
        <v>26310</v>
      </c>
      <c r="Z43" s="159">
        <f>30643-Y43</f>
        <v>4333</v>
      </c>
      <c r="AA43" s="159">
        <f>66720-Z43-Y43</f>
        <v>36077</v>
      </c>
      <c r="AB43" s="159">
        <f t="shared" si="52"/>
        <v>92231</v>
      </c>
      <c r="AC43" s="159">
        <v>16830</v>
      </c>
      <c r="AD43" s="159">
        <f>0-AC43</f>
        <v>-16830</v>
      </c>
      <c r="AE43" s="159">
        <f>16422-AD43-AC43</f>
        <v>16422</v>
      </c>
      <c r="AF43" s="159">
        <f t="shared" si="53"/>
        <v>69719</v>
      </c>
      <c r="AG43" s="159">
        <v>0</v>
      </c>
      <c r="AH43" s="159">
        <v>0</v>
      </c>
      <c r="AI43" s="159">
        <v>0</v>
      </c>
      <c r="AJ43" s="159">
        <f t="shared" si="54"/>
        <v>0</v>
      </c>
      <c r="AK43" s="159">
        <v>0</v>
      </c>
      <c r="AL43" s="159">
        <v>0</v>
      </c>
      <c r="AM43" s="159">
        <v>0</v>
      </c>
      <c r="AN43" s="159">
        <f t="shared" si="55"/>
        <v>14677</v>
      </c>
      <c r="AO43" s="159">
        <v>0</v>
      </c>
      <c r="AP43" s="159">
        <v>0</v>
      </c>
      <c r="AQ43" s="159">
        <v>0</v>
      </c>
      <c r="AR43" s="287">
        <f t="shared" si="56"/>
        <v>0</v>
      </c>
      <c r="AS43" s="167">
        <v>0</v>
      </c>
    </row>
    <row r="44" spans="1:45" ht="24.9" customHeight="1">
      <c r="A44" s="2"/>
      <c r="B44" s="168" t="s">
        <v>102</v>
      </c>
      <c r="C44" s="159">
        <v>-8317</v>
      </c>
      <c r="D44" s="159">
        <v>0</v>
      </c>
      <c r="E44" s="159">
        <v>-48784</v>
      </c>
      <c r="F44" s="159">
        <v>0</v>
      </c>
      <c r="G44" s="159">
        <v>0</v>
      </c>
      <c r="H44" s="159">
        <v>-71244</v>
      </c>
      <c r="I44" s="159">
        <v>0</v>
      </c>
      <c r="J44" s="159">
        <v>-14</v>
      </c>
      <c r="K44" s="159">
        <v>-2241</v>
      </c>
      <c r="L44" s="167">
        <v>-389</v>
      </c>
      <c r="M44" s="159">
        <v>-2</v>
      </c>
      <c r="N44" s="159">
        <v>-20521</v>
      </c>
      <c r="O44" s="159">
        <v>20515</v>
      </c>
      <c r="P44" s="159">
        <f t="shared" si="49"/>
        <v>-6</v>
      </c>
      <c r="Q44" s="159">
        <v>-5</v>
      </c>
      <c r="R44" s="159">
        <v>-1023</v>
      </c>
      <c r="S44" s="159">
        <v>1028</v>
      </c>
      <c r="T44" s="159">
        <f t="shared" si="50"/>
        <v>0</v>
      </c>
      <c r="U44" s="159">
        <v>-13398</v>
      </c>
      <c r="V44" s="159">
        <v>-54023</v>
      </c>
      <c r="W44" s="159">
        <v>-2813</v>
      </c>
      <c r="X44" s="159">
        <f t="shared" si="51"/>
        <v>-1010</v>
      </c>
      <c r="Y44" s="159">
        <v>-8</v>
      </c>
      <c r="Z44" s="159">
        <f>-20-Y44</f>
        <v>-12</v>
      </c>
      <c r="AA44" s="159">
        <f>-26-Z44-Y44</f>
        <v>-6</v>
      </c>
      <c r="AB44" s="159">
        <f t="shared" si="52"/>
        <v>26</v>
      </c>
      <c r="AC44" s="159">
        <v>0</v>
      </c>
      <c r="AD44" s="159">
        <f>-135-AC44</f>
        <v>-135</v>
      </c>
      <c r="AE44" s="159">
        <f>-10-AD44-AC44</f>
        <v>125</v>
      </c>
      <c r="AF44" s="159">
        <f t="shared" si="53"/>
        <v>10</v>
      </c>
      <c r="AG44" s="159">
        <v>-115028</v>
      </c>
      <c r="AH44" s="159">
        <f>-138930-AG44</f>
        <v>-23902</v>
      </c>
      <c r="AI44" s="159">
        <f>-153753-AH44-AG44</f>
        <v>-14823</v>
      </c>
      <c r="AJ44" s="159">
        <f t="shared" si="54"/>
        <v>104969</v>
      </c>
      <c r="AK44" s="159">
        <v>-129897</v>
      </c>
      <c r="AL44" s="159">
        <f>-131694-AK44</f>
        <v>-1797</v>
      </c>
      <c r="AM44" s="159">
        <f>-38725-AL44-AK44</f>
        <v>92969</v>
      </c>
      <c r="AN44" s="159">
        <f t="shared" si="55"/>
        <v>38725</v>
      </c>
      <c r="AO44" s="159">
        <v>-63243</v>
      </c>
      <c r="AP44" s="159">
        <f>-125210-AO44</f>
        <v>-61967</v>
      </c>
      <c r="AQ44" s="159">
        <f>-124507-AP44-AO44</f>
        <v>703</v>
      </c>
      <c r="AR44" s="287">
        <f t="shared" si="56"/>
        <v>116190</v>
      </c>
      <c r="AS44" s="167">
        <v>-128897</v>
      </c>
    </row>
    <row r="45" spans="1:45" ht="24.9" customHeight="1">
      <c r="A45" s="2"/>
      <c r="B45" s="168" t="s">
        <v>124</v>
      </c>
      <c r="C45" s="159">
        <v>0</v>
      </c>
      <c r="D45" s="159">
        <v>0</v>
      </c>
      <c r="E45" s="159">
        <v>0</v>
      </c>
      <c r="F45" s="159">
        <v>0</v>
      </c>
      <c r="G45" s="159">
        <v>0</v>
      </c>
      <c r="H45" s="159">
        <v>0</v>
      </c>
      <c r="I45" s="159">
        <v>14375</v>
      </c>
      <c r="J45" s="159">
        <v>0</v>
      </c>
      <c r="K45" s="159">
        <v>0</v>
      </c>
      <c r="L45" s="167">
        <v>0</v>
      </c>
      <c r="M45" s="159">
        <v>0</v>
      </c>
      <c r="N45" s="159">
        <v>0</v>
      </c>
      <c r="O45" s="159">
        <v>0</v>
      </c>
      <c r="P45" s="159">
        <f t="shared" si="49"/>
        <v>0</v>
      </c>
      <c r="Q45" s="159">
        <v>0</v>
      </c>
      <c r="R45" s="159">
        <v>0</v>
      </c>
      <c r="S45" s="159">
        <v>0</v>
      </c>
      <c r="T45" s="159">
        <f t="shared" si="50"/>
        <v>14375</v>
      </c>
      <c r="U45" s="159">
        <v>-8105</v>
      </c>
      <c r="V45" s="159">
        <v>-6265</v>
      </c>
      <c r="W45" s="159">
        <v>0</v>
      </c>
      <c r="X45" s="159">
        <f t="shared" si="51"/>
        <v>14370</v>
      </c>
      <c r="Y45" s="159">
        <v>0</v>
      </c>
      <c r="Z45" s="159">
        <v>0</v>
      </c>
      <c r="AA45" s="159">
        <v>0</v>
      </c>
      <c r="AB45" s="159">
        <f t="shared" si="52"/>
        <v>0</v>
      </c>
      <c r="AC45" s="159">
        <v>0</v>
      </c>
      <c r="AD45" s="159">
        <v>0</v>
      </c>
      <c r="AE45" s="159">
        <v>0</v>
      </c>
      <c r="AF45" s="159">
        <f t="shared" si="53"/>
        <v>0</v>
      </c>
      <c r="AG45" s="159">
        <v>0</v>
      </c>
      <c r="AH45" s="159">
        <v>0</v>
      </c>
      <c r="AI45" s="159">
        <v>0</v>
      </c>
      <c r="AJ45" s="159">
        <f t="shared" si="54"/>
        <v>0</v>
      </c>
      <c r="AK45" s="159">
        <v>0</v>
      </c>
      <c r="AL45" s="159">
        <v>0</v>
      </c>
      <c r="AM45" s="159">
        <v>0</v>
      </c>
      <c r="AN45" s="159">
        <f t="shared" si="55"/>
        <v>0</v>
      </c>
      <c r="AO45" s="159">
        <v>0</v>
      </c>
      <c r="AP45" s="159">
        <v>0</v>
      </c>
      <c r="AQ45" s="159">
        <v>0</v>
      </c>
      <c r="AR45" s="287">
        <f t="shared" si="56"/>
        <v>0</v>
      </c>
      <c r="AS45" s="167">
        <v>0</v>
      </c>
    </row>
    <row r="46" spans="1:45" ht="24.9" customHeight="1">
      <c r="A46" s="2"/>
      <c r="B46" s="168" t="s">
        <v>125</v>
      </c>
      <c r="C46" s="159">
        <v>0</v>
      </c>
      <c r="D46" s="159">
        <v>0</v>
      </c>
      <c r="E46" s="159">
        <v>0</v>
      </c>
      <c r="F46" s="159">
        <v>0</v>
      </c>
      <c r="G46" s="159">
        <v>0</v>
      </c>
      <c r="H46" s="159">
        <v>0</v>
      </c>
      <c r="I46" s="159">
        <v>3574</v>
      </c>
      <c r="J46" s="159">
        <v>0</v>
      </c>
      <c r="K46" s="159">
        <v>0</v>
      </c>
      <c r="L46" s="167">
        <v>0</v>
      </c>
      <c r="M46" s="159">
        <v>0</v>
      </c>
      <c r="N46" s="159">
        <v>0</v>
      </c>
      <c r="O46" s="159">
        <v>0</v>
      </c>
      <c r="P46" s="159">
        <f t="shared" si="49"/>
        <v>0</v>
      </c>
      <c r="Q46" s="159">
        <v>0</v>
      </c>
      <c r="R46" s="159">
        <v>0</v>
      </c>
      <c r="S46" s="159">
        <v>0</v>
      </c>
      <c r="T46" s="159">
        <f t="shared" si="50"/>
        <v>3574</v>
      </c>
      <c r="U46" s="159">
        <v>-3618</v>
      </c>
      <c r="V46" s="159">
        <v>0</v>
      </c>
      <c r="W46" s="159">
        <v>0</v>
      </c>
      <c r="X46" s="159">
        <f t="shared" si="51"/>
        <v>3618</v>
      </c>
      <c r="Y46" s="159">
        <v>0</v>
      </c>
      <c r="Z46" s="159">
        <v>0</v>
      </c>
      <c r="AA46" s="159">
        <v>0</v>
      </c>
      <c r="AB46" s="159">
        <f t="shared" si="52"/>
        <v>0</v>
      </c>
      <c r="AC46" s="159">
        <v>0</v>
      </c>
      <c r="AD46" s="159">
        <v>0</v>
      </c>
      <c r="AE46" s="159">
        <v>0</v>
      </c>
      <c r="AF46" s="159">
        <f t="shared" si="53"/>
        <v>0</v>
      </c>
      <c r="AG46" s="159">
        <v>0</v>
      </c>
      <c r="AH46" s="159">
        <v>0</v>
      </c>
      <c r="AI46" s="159">
        <v>0</v>
      </c>
      <c r="AJ46" s="159">
        <f t="shared" si="54"/>
        <v>0</v>
      </c>
      <c r="AK46" s="159">
        <v>0</v>
      </c>
      <c r="AL46" s="159">
        <v>0</v>
      </c>
      <c r="AM46" s="159">
        <v>0</v>
      </c>
      <c r="AN46" s="159">
        <f t="shared" si="55"/>
        <v>0</v>
      </c>
      <c r="AO46" s="159">
        <v>0</v>
      </c>
      <c r="AP46" s="159">
        <v>0</v>
      </c>
      <c r="AQ46" s="159">
        <v>0</v>
      </c>
      <c r="AR46" s="287">
        <f t="shared" si="56"/>
        <v>0</v>
      </c>
      <c r="AS46" s="167">
        <v>0</v>
      </c>
    </row>
    <row r="47" spans="1:45" ht="24.9" customHeight="1">
      <c r="A47" s="2"/>
      <c r="B47" s="168" t="s">
        <v>136</v>
      </c>
      <c r="C47" s="159">
        <v>0</v>
      </c>
      <c r="D47" s="159">
        <v>0</v>
      </c>
      <c r="E47" s="159">
        <v>0</v>
      </c>
      <c r="F47" s="159">
        <v>0</v>
      </c>
      <c r="G47" s="159">
        <v>0</v>
      </c>
      <c r="H47" s="159">
        <v>-14729</v>
      </c>
      <c r="I47" s="159">
        <v>0</v>
      </c>
      <c r="J47" s="159">
        <v>0</v>
      </c>
      <c r="K47" s="159">
        <v>0</v>
      </c>
      <c r="L47" s="167">
        <v>0</v>
      </c>
      <c r="M47" s="159">
        <v>0</v>
      </c>
      <c r="N47" s="159">
        <v>0</v>
      </c>
      <c r="O47" s="159">
        <v>0</v>
      </c>
      <c r="P47" s="159">
        <f t="shared" si="49"/>
        <v>0</v>
      </c>
      <c r="Q47" s="159">
        <v>0</v>
      </c>
      <c r="R47" s="159">
        <v>0</v>
      </c>
      <c r="S47" s="159">
        <v>0</v>
      </c>
      <c r="T47" s="159">
        <f t="shared" si="50"/>
        <v>0</v>
      </c>
      <c r="U47" s="159">
        <v>0</v>
      </c>
      <c r="V47" s="159">
        <v>0</v>
      </c>
      <c r="W47" s="159">
        <v>0</v>
      </c>
      <c r="X47" s="159">
        <f t="shared" si="51"/>
        <v>-14729</v>
      </c>
      <c r="Y47" s="159">
        <v>0</v>
      </c>
      <c r="Z47" s="159">
        <v>0</v>
      </c>
      <c r="AA47" s="159">
        <v>0</v>
      </c>
      <c r="AB47" s="159">
        <f t="shared" si="52"/>
        <v>0</v>
      </c>
      <c r="AC47" s="159">
        <v>0</v>
      </c>
      <c r="AD47" s="159">
        <v>0</v>
      </c>
      <c r="AE47" s="159">
        <v>0</v>
      </c>
      <c r="AF47" s="159">
        <f t="shared" si="53"/>
        <v>0</v>
      </c>
      <c r="AG47" s="159">
        <v>0</v>
      </c>
      <c r="AH47" s="159">
        <v>0</v>
      </c>
      <c r="AI47" s="159">
        <v>0</v>
      </c>
      <c r="AJ47" s="159">
        <f t="shared" si="54"/>
        <v>0</v>
      </c>
      <c r="AK47" s="159">
        <v>0</v>
      </c>
      <c r="AL47" s="159">
        <v>0</v>
      </c>
      <c r="AM47" s="159">
        <v>0</v>
      </c>
      <c r="AN47" s="159">
        <f t="shared" si="55"/>
        <v>0</v>
      </c>
      <c r="AO47" s="159">
        <v>0</v>
      </c>
      <c r="AP47" s="159">
        <v>0</v>
      </c>
      <c r="AQ47" s="159">
        <v>0</v>
      </c>
      <c r="AR47" s="287">
        <f t="shared" si="56"/>
        <v>0</v>
      </c>
      <c r="AS47" s="167">
        <v>0</v>
      </c>
    </row>
    <row r="48" spans="1:45" ht="24.9" customHeight="1">
      <c r="A48" s="2"/>
      <c r="B48" s="168" t="s">
        <v>137</v>
      </c>
      <c r="C48" s="159">
        <v>0</v>
      </c>
      <c r="D48" s="159">
        <v>0</v>
      </c>
      <c r="E48" s="159">
        <v>0</v>
      </c>
      <c r="F48" s="159">
        <v>0</v>
      </c>
      <c r="G48" s="159">
        <v>0</v>
      </c>
      <c r="H48" s="159">
        <v>-3618</v>
      </c>
      <c r="I48" s="159">
        <v>0</v>
      </c>
      <c r="J48" s="159">
        <v>0</v>
      </c>
      <c r="K48" s="159">
        <v>0</v>
      </c>
      <c r="L48" s="167">
        <v>0</v>
      </c>
      <c r="M48" s="159">
        <v>0</v>
      </c>
      <c r="N48" s="159">
        <v>0</v>
      </c>
      <c r="O48" s="159">
        <v>0</v>
      </c>
      <c r="P48" s="159">
        <f t="shared" si="49"/>
        <v>0</v>
      </c>
      <c r="Q48" s="159">
        <v>0</v>
      </c>
      <c r="R48" s="159">
        <v>0</v>
      </c>
      <c r="S48" s="159">
        <v>0</v>
      </c>
      <c r="T48" s="159">
        <f t="shared" si="50"/>
        <v>0</v>
      </c>
      <c r="U48" s="159">
        <v>0</v>
      </c>
      <c r="V48" s="159">
        <v>0</v>
      </c>
      <c r="W48" s="159">
        <v>0</v>
      </c>
      <c r="X48" s="159">
        <f t="shared" si="51"/>
        <v>-3618</v>
      </c>
      <c r="Y48" s="159">
        <v>0</v>
      </c>
      <c r="Z48" s="159">
        <v>0</v>
      </c>
      <c r="AA48" s="159">
        <v>0</v>
      </c>
      <c r="AB48" s="159">
        <f t="shared" si="52"/>
        <v>0</v>
      </c>
      <c r="AC48" s="159">
        <v>0</v>
      </c>
      <c r="AD48" s="159">
        <v>0</v>
      </c>
      <c r="AE48" s="159">
        <v>0</v>
      </c>
      <c r="AF48" s="159">
        <f t="shared" si="53"/>
        <v>0</v>
      </c>
      <c r="AG48" s="159">
        <v>0</v>
      </c>
      <c r="AH48" s="159">
        <v>0</v>
      </c>
      <c r="AI48" s="159">
        <v>0</v>
      </c>
      <c r="AJ48" s="159">
        <f t="shared" si="54"/>
        <v>0</v>
      </c>
      <c r="AK48" s="159">
        <v>0</v>
      </c>
      <c r="AL48" s="159">
        <v>0</v>
      </c>
      <c r="AM48" s="159">
        <v>0</v>
      </c>
      <c r="AN48" s="159">
        <f t="shared" si="55"/>
        <v>0</v>
      </c>
      <c r="AO48" s="159">
        <v>0</v>
      </c>
      <c r="AP48" s="159">
        <v>0</v>
      </c>
      <c r="AQ48" s="159">
        <v>0</v>
      </c>
      <c r="AR48" s="287">
        <f t="shared" si="56"/>
        <v>0</v>
      </c>
      <c r="AS48" s="167">
        <v>0</v>
      </c>
    </row>
    <row r="49" spans="1:45" ht="24.75" customHeight="1">
      <c r="A49" s="2"/>
      <c r="B49" s="168" t="s">
        <v>103</v>
      </c>
      <c r="C49" s="159">
        <v>-44372</v>
      </c>
      <c r="D49" s="159">
        <v>-43694</v>
      </c>
      <c r="E49" s="159">
        <v>-43521</v>
      </c>
      <c r="F49" s="159">
        <v>-37042</v>
      </c>
      <c r="G49" s="159">
        <v>-29389</v>
      </c>
      <c r="H49" s="159">
        <v>-25150</v>
      </c>
      <c r="I49" s="159">
        <v>-19990</v>
      </c>
      <c r="J49" s="159">
        <v>-8197</v>
      </c>
      <c r="K49" s="159">
        <v>-5814</v>
      </c>
      <c r="L49" s="167">
        <v>-3988</v>
      </c>
      <c r="M49" s="159">
        <v>-1822</v>
      </c>
      <c r="N49" s="159">
        <v>-1764</v>
      </c>
      <c r="O49" s="159">
        <v>-1934</v>
      </c>
      <c r="P49" s="159">
        <f t="shared" si="49"/>
        <v>-2677</v>
      </c>
      <c r="Q49" s="159">
        <v>-4719</v>
      </c>
      <c r="R49" s="159">
        <v>-4887</v>
      </c>
      <c r="S49" s="159">
        <v>-4433</v>
      </c>
      <c r="T49" s="159">
        <f t="shared" si="50"/>
        <v>-5951</v>
      </c>
      <c r="U49" s="159">
        <v>-6606</v>
      </c>
      <c r="V49" s="159">
        <v>-5920</v>
      </c>
      <c r="W49" s="159">
        <v>-6126</v>
      </c>
      <c r="X49" s="159">
        <f t="shared" si="51"/>
        <v>-6498</v>
      </c>
      <c r="Y49" s="159">
        <v>-6700</v>
      </c>
      <c r="Z49" s="159">
        <f>-13576-Y49</f>
        <v>-6876</v>
      </c>
      <c r="AA49" s="159">
        <f>-21140-Z49-Y49</f>
        <v>-7564</v>
      </c>
      <c r="AB49" s="159">
        <f t="shared" si="52"/>
        <v>-8249</v>
      </c>
      <c r="AC49" s="159">
        <v>-7700</v>
      </c>
      <c r="AD49" s="159">
        <f>-19950-AC49</f>
        <v>-12250</v>
      </c>
      <c r="AE49" s="159">
        <f>-28886-AD49-AC49</f>
        <v>-8936</v>
      </c>
      <c r="AF49" s="159">
        <f t="shared" si="53"/>
        <v>-8156</v>
      </c>
      <c r="AG49" s="159">
        <v>-10407</v>
      </c>
      <c r="AH49" s="159">
        <f>-20980-AG49</f>
        <v>-10573</v>
      </c>
      <c r="AI49" s="159">
        <f>-31700-AH49-AG49</f>
        <v>-10720</v>
      </c>
      <c r="AJ49" s="159">
        <f t="shared" si="54"/>
        <v>-11821</v>
      </c>
      <c r="AK49" s="159">
        <v>-12690</v>
      </c>
      <c r="AL49" s="159">
        <f>-25119-AK49</f>
        <v>-12429</v>
      </c>
      <c r="AM49" s="159">
        <f>-33912-AL49-AK49</f>
        <v>-8793</v>
      </c>
      <c r="AN49" s="159">
        <f t="shared" si="55"/>
        <v>-9782</v>
      </c>
      <c r="AO49" s="159">
        <v>-9415</v>
      </c>
      <c r="AP49" s="159">
        <f>-18057-AO49</f>
        <v>-8642</v>
      </c>
      <c r="AQ49" s="159">
        <f>-30062-AP49-AO49</f>
        <v>-12005</v>
      </c>
      <c r="AR49" s="287">
        <f t="shared" si="56"/>
        <v>-14310</v>
      </c>
      <c r="AS49" s="167">
        <v>-15563</v>
      </c>
    </row>
    <row r="50" spans="1:45" ht="24.9" customHeight="1">
      <c r="A50" s="2"/>
      <c r="B50" s="168" t="s">
        <v>104</v>
      </c>
      <c r="C50" s="159">
        <v>-32928</v>
      </c>
      <c r="D50" s="159">
        <v>-28960</v>
      </c>
      <c r="E50" s="159">
        <v>-27970</v>
      </c>
      <c r="F50" s="159">
        <v>-23953</v>
      </c>
      <c r="G50" s="159">
        <v>-6365</v>
      </c>
      <c r="H50" s="159">
        <v>-7631</v>
      </c>
      <c r="I50" s="159">
        <v>-9469</v>
      </c>
      <c r="J50" s="159">
        <v>-7474</v>
      </c>
      <c r="K50" s="159">
        <v>-6521</v>
      </c>
      <c r="L50" s="167">
        <v>-5404</v>
      </c>
      <c r="M50" s="159">
        <v>-1506</v>
      </c>
      <c r="N50" s="159">
        <v>-1602</v>
      </c>
      <c r="O50" s="159">
        <v>-2466</v>
      </c>
      <c r="P50" s="159">
        <f t="shared" si="49"/>
        <v>-1900</v>
      </c>
      <c r="Q50" s="159">
        <v>-1776</v>
      </c>
      <c r="R50" s="159">
        <v>-1894</v>
      </c>
      <c r="S50" s="159">
        <v>-2003</v>
      </c>
      <c r="T50" s="159">
        <f t="shared" si="50"/>
        <v>-3796</v>
      </c>
      <c r="U50" s="159">
        <v>-2309</v>
      </c>
      <c r="V50" s="159">
        <v>-2773</v>
      </c>
      <c r="W50" s="159">
        <v>-1160</v>
      </c>
      <c r="X50" s="159">
        <f t="shared" si="51"/>
        <v>-1389</v>
      </c>
      <c r="Y50" s="159">
        <v>-1319</v>
      </c>
      <c r="Z50" s="159">
        <f>-3481-Y50</f>
        <v>-2162</v>
      </c>
      <c r="AA50" s="159">
        <f>-4727-Z50-Y50</f>
        <v>-1246</v>
      </c>
      <c r="AB50" s="159">
        <f t="shared" si="52"/>
        <v>-1638</v>
      </c>
      <c r="AC50" s="159">
        <v>-3547</v>
      </c>
      <c r="AD50" s="159">
        <f>-9275-AC50</f>
        <v>-5728</v>
      </c>
      <c r="AE50" s="159">
        <f>-16061-AD50-AC50</f>
        <v>-6786</v>
      </c>
      <c r="AF50" s="159">
        <f t="shared" si="53"/>
        <v>-7892</v>
      </c>
      <c r="AG50" s="159">
        <v>-9306</v>
      </c>
      <c r="AH50" s="159">
        <f>-15544-AG50</f>
        <v>-6238</v>
      </c>
      <c r="AI50" s="159">
        <f>-21833-AH50-AG50</f>
        <v>-6289</v>
      </c>
      <c r="AJ50" s="159">
        <f t="shared" si="54"/>
        <v>-6137</v>
      </c>
      <c r="AK50" s="159">
        <v>-7073</v>
      </c>
      <c r="AL50" s="159">
        <f>-12923-AK50</f>
        <v>-5850</v>
      </c>
      <c r="AM50" s="159">
        <f>-20105-AL50-AK50</f>
        <v>-7182</v>
      </c>
      <c r="AN50" s="159">
        <f t="shared" si="55"/>
        <v>-8855</v>
      </c>
      <c r="AO50" s="159">
        <v>-8908</v>
      </c>
      <c r="AP50" s="159">
        <f>-17195-AO50</f>
        <v>-8287</v>
      </c>
      <c r="AQ50" s="159">
        <f>-24524-AP50-AO50</f>
        <v>-7329</v>
      </c>
      <c r="AR50" s="287">
        <f t="shared" si="56"/>
        <v>-8404</v>
      </c>
      <c r="AS50" s="167">
        <v>-8261</v>
      </c>
    </row>
    <row r="51" spans="1:45" ht="24.9" customHeight="1">
      <c r="A51" s="2"/>
      <c r="B51" s="168" t="s">
        <v>105</v>
      </c>
      <c r="C51" s="159">
        <v>0</v>
      </c>
      <c r="D51" s="159">
        <v>0</v>
      </c>
      <c r="E51" s="159">
        <v>0</v>
      </c>
      <c r="F51" s="159">
        <v>0</v>
      </c>
      <c r="G51" s="159">
        <v>0</v>
      </c>
      <c r="H51" s="159">
        <v>0</v>
      </c>
      <c r="I51" s="159">
        <v>0</v>
      </c>
      <c r="J51" s="159">
        <v>0</v>
      </c>
      <c r="K51" s="159">
        <v>3547</v>
      </c>
      <c r="L51" s="167">
        <v>0</v>
      </c>
      <c r="M51" s="159">
        <v>0</v>
      </c>
      <c r="N51" s="159">
        <v>0</v>
      </c>
      <c r="O51" s="159">
        <v>0</v>
      </c>
      <c r="P51" s="159">
        <f t="shared" si="49"/>
        <v>0</v>
      </c>
      <c r="Q51" s="159">
        <v>0</v>
      </c>
      <c r="R51" s="159">
        <v>0</v>
      </c>
      <c r="S51" s="159">
        <v>0</v>
      </c>
      <c r="T51" s="159">
        <f t="shared" si="50"/>
        <v>0</v>
      </c>
      <c r="U51" s="159">
        <v>0</v>
      </c>
      <c r="V51" s="159">
        <v>0</v>
      </c>
      <c r="W51" s="159">
        <v>0</v>
      </c>
      <c r="X51" s="159">
        <f t="shared" si="51"/>
        <v>0</v>
      </c>
      <c r="Y51" s="159">
        <v>0</v>
      </c>
      <c r="Z51" s="159">
        <v>0</v>
      </c>
      <c r="AA51" s="159">
        <v>0</v>
      </c>
      <c r="AB51" s="159">
        <f t="shared" si="52"/>
        <v>0</v>
      </c>
      <c r="AC51" s="159">
        <v>0</v>
      </c>
      <c r="AD51" s="159">
        <v>0</v>
      </c>
      <c r="AE51" s="159">
        <v>0</v>
      </c>
      <c r="AF51" s="159">
        <f t="shared" si="53"/>
        <v>0</v>
      </c>
      <c r="AG51" s="159">
        <v>0</v>
      </c>
      <c r="AH51" s="159">
        <v>0</v>
      </c>
      <c r="AI51" s="159">
        <v>0</v>
      </c>
      <c r="AJ51" s="159">
        <f t="shared" si="54"/>
        <v>0</v>
      </c>
      <c r="AK51" s="159">
        <v>0</v>
      </c>
      <c r="AL51" s="159">
        <v>0</v>
      </c>
      <c r="AM51" s="159">
        <v>0</v>
      </c>
      <c r="AN51" s="159">
        <f t="shared" si="55"/>
        <v>0</v>
      </c>
      <c r="AO51" s="159">
        <v>0</v>
      </c>
      <c r="AP51" s="159">
        <v>0</v>
      </c>
      <c r="AQ51" s="159">
        <v>0</v>
      </c>
      <c r="AR51" s="287">
        <f t="shared" si="56"/>
        <v>0</v>
      </c>
      <c r="AS51" s="167">
        <v>0</v>
      </c>
    </row>
    <row r="52" spans="1:45" ht="20.399999999999999">
      <c r="A52" s="2"/>
      <c r="B52" s="171" t="s">
        <v>106</v>
      </c>
      <c r="C52" s="48">
        <f t="shared" ref="C52:W52" si="57">SUM(C40:C51)</f>
        <v>-105210</v>
      </c>
      <c r="D52" s="48">
        <f t="shared" si="57"/>
        <v>-77570</v>
      </c>
      <c r="E52" s="48">
        <f t="shared" si="57"/>
        <v>-139868</v>
      </c>
      <c r="F52" s="48">
        <f t="shared" si="57"/>
        <v>5553</v>
      </c>
      <c r="G52" s="48">
        <f t="shared" si="57"/>
        <v>110135</v>
      </c>
      <c r="H52" s="48">
        <f t="shared" si="57"/>
        <v>-122372</v>
      </c>
      <c r="I52" s="48">
        <f t="shared" si="57"/>
        <v>1853</v>
      </c>
      <c r="J52" s="48">
        <f t="shared" si="57"/>
        <v>-12064</v>
      </c>
      <c r="K52" s="48">
        <f t="shared" si="57"/>
        <v>100867</v>
      </c>
      <c r="L52" s="164">
        <f t="shared" si="57"/>
        <v>45302</v>
      </c>
      <c r="M52" s="48">
        <f t="shared" si="57"/>
        <v>-1192</v>
      </c>
      <c r="N52" s="48">
        <f t="shared" si="57"/>
        <v>-24727</v>
      </c>
      <c r="O52" s="48">
        <f t="shared" si="57"/>
        <v>17007</v>
      </c>
      <c r="P52" s="48">
        <f t="shared" si="57"/>
        <v>-3152</v>
      </c>
      <c r="Q52" s="48">
        <f t="shared" si="57"/>
        <v>3495</v>
      </c>
      <c r="R52" s="48">
        <f t="shared" si="57"/>
        <v>-19422</v>
      </c>
      <c r="S52" s="48">
        <f t="shared" si="57"/>
        <v>3560</v>
      </c>
      <c r="T52" s="48">
        <f t="shared" si="57"/>
        <v>14220</v>
      </c>
      <c r="U52" s="48">
        <f t="shared" si="57"/>
        <v>-34036</v>
      </c>
      <c r="V52" s="48">
        <f t="shared" si="57"/>
        <v>-68981</v>
      </c>
      <c r="W52" s="48">
        <f t="shared" si="57"/>
        <v>-10099</v>
      </c>
      <c r="X52" s="48">
        <f t="shared" ref="X52:Z52" si="58">SUM(X40:X51)</f>
        <v>-9256</v>
      </c>
      <c r="Y52" s="48">
        <f t="shared" si="58"/>
        <v>18283</v>
      </c>
      <c r="Z52" s="48">
        <f t="shared" si="58"/>
        <v>-17779</v>
      </c>
      <c r="AA52" s="48">
        <f t="shared" ref="AA52:AB52" si="59">SUM(AA40:AA51)</f>
        <v>27261</v>
      </c>
      <c r="AB52" s="48">
        <f t="shared" si="59"/>
        <v>82370</v>
      </c>
      <c r="AC52" s="48">
        <f t="shared" ref="AC52" si="60">SUM(AC40:AC51)</f>
        <v>5583</v>
      </c>
      <c r="AD52" s="48">
        <f>SUM(AD40:AD51)</f>
        <v>-54536</v>
      </c>
      <c r="AE52" s="48">
        <f t="shared" ref="AE52" si="61">SUM(AE40:AE51)</f>
        <v>825</v>
      </c>
      <c r="AF52" s="48">
        <f t="shared" ref="AF52:AL52" si="62">SUM(AF40:AF51)</f>
        <v>53681</v>
      </c>
      <c r="AG52" s="48">
        <f t="shared" si="62"/>
        <v>-134741</v>
      </c>
      <c r="AH52" s="48">
        <f t="shared" si="62"/>
        <v>-60306</v>
      </c>
      <c r="AI52" s="48">
        <f t="shared" si="62"/>
        <v>-31832</v>
      </c>
      <c r="AJ52" s="48">
        <f t="shared" si="62"/>
        <v>87011</v>
      </c>
      <c r="AK52" s="48">
        <f t="shared" si="62"/>
        <v>-149660</v>
      </c>
      <c r="AL52" s="48">
        <f t="shared" si="62"/>
        <v>-39669</v>
      </c>
      <c r="AM52" s="48">
        <f t="shared" ref="AM52:AN52" si="63">SUM(AM40:AM51)</f>
        <v>76994</v>
      </c>
      <c r="AN52" s="48">
        <f t="shared" si="63"/>
        <v>34765</v>
      </c>
      <c r="AO52" s="48">
        <f t="shared" ref="AO52:AP52" si="64">SUM(AO40:AO51)</f>
        <v>-81566</v>
      </c>
      <c r="AP52" s="48">
        <f t="shared" si="64"/>
        <v>-98489</v>
      </c>
      <c r="AQ52" s="48">
        <f t="shared" ref="AQ52:AR52" si="65">SUM(AQ40:AQ51)</f>
        <v>-18631</v>
      </c>
      <c r="AR52" s="48">
        <f t="shared" si="65"/>
        <v>93476</v>
      </c>
      <c r="AS52" s="164">
        <f t="shared" ref="AS52" si="66">SUM(AS40:AS51)</f>
        <v>-152721</v>
      </c>
    </row>
    <row r="53" spans="1:45">
      <c r="A53" s="2"/>
      <c r="B53" s="168"/>
      <c r="C53" s="198"/>
      <c r="D53" s="198"/>
      <c r="E53" s="198"/>
      <c r="F53" s="198"/>
      <c r="G53" s="198"/>
      <c r="H53" s="198"/>
      <c r="I53" s="198"/>
      <c r="J53" s="42"/>
      <c r="K53" s="42"/>
      <c r="L53" s="118"/>
      <c r="M53" s="159"/>
      <c r="N53" s="2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291"/>
      <c r="AS53" s="221"/>
    </row>
    <row r="54" spans="1:45">
      <c r="A54" s="2"/>
      <c r="B54" s="163" t="s">
        <v>107</v>
      </c>
      <c r="C54" s="49">
        <f t="shared" ref="C54:U54" si="67">SUM(C52,C37,C23)</f>
        <v>13022</v>
      </c>
      <c r="D54" s="49">
        <f t="shared" si="67"/>
        <v>1190</v>
      </c>
      <c r="E54" s="49">
        <f t="shared" si="67"/>
        <v>2470</v>
      </c>
      <c r="F54" s="49">
        <f t="shared" si="67"/>
        <v>17983</v>
      </c>
      <c r="G54" s="49">
        <f t="shared" si="67"/>
        <v>-4286</v>
      </c>
      <c r="H54" s="49">
        <f t="shared" si="67"/>
        <v>-4741</v>
      </c>
      <c r="I54" s="49">
        <f t="shared" si="67"/>
        <v>4100</v>
      </c>
      <c r="J54" s="49">
        <f t="shared" si="67"/>
        <v>5201</v>
      </c>
      <c r="K54" s="49">
        <f t="shared" si="67"/>
        <v>5682</v>
      </c>
      <c r="L54" s="173">
        <f t="shared" si="67"/>
        <v>0</v>
      </c>
      <c r="M54" s="49">
        <f t="shared" si="67"/>
        <v>-4522</v>
      </c>
      <c r="N54" s="49">
        <f t="shared" si="67"/>
        <v>18694</v>
      </c>
      <c r="O54" s="49">
        <f t="shared" si="67"/>
        <v>-13465</v>
      </c>
      <c r="P54" s="49">
        <f t="shared" si="67"/>
        <v>4494</v>
      </c>
      <c r="Q54" s="49">
        <f t="shared" si="67"/>
        <v>5076</v>
      </c>
      <c r="R54" s="49">
        <f t="shared" si="67"/>
        <v>-6092</v>
      </c>
      <c r="S54" s="49">
        <f t="shared" si="67"/>
        <v>-18</v>
      </c>
      <c r="T54" s="49">
        <f t="shared" si="67"/>
        <v>5134</v>
      </c>
      <c r="U54" s="49">
        <f t="shared" si="67"/>
        <v>2468</v>
      </c>
      <c r="V54" s="49">
        <f t="shared" ref="V54:X54" si="68">SUM(V52,V37,V23)</f>
        <v>4388</v>
      </c>
      <c r="W54" s="49">
        <f t="shared" si="68"/>
        <v>-8396</v>
      </c>
      <c r="X54" s="49">
        <f t="shared" si="68"/>
        <v>-3201</v>
      </c>
      <c r="Y54" s="49">
        <f t="shared" ref="Y54:AD54" si="69">SUM(Y52,Y37,Y23)</f>
        <v>5337</v>
      </c>
      <c r="Z54" s="49">
        <f t="shared" si="69"/>
        <v>5836</v>
      </c>
      <c r="AA54" s="49">
        <f t="shared" si="69"/>
        <v>-5824</v>
      </c>
      <c r="AB54" s="49">
        <f t="shared" si="69"/>
        <v>-9635</v>
      </c>
      <c r="AC54" s="49">
        <f t="shared" si="69"/>
        <v>19103</v>
      </c>
      <c r="AD54" s="49">
        <f t="shared" si="69"/>
        <v>7024</v>
      </c>
      <c r="AE54" s="49">
        <f t="shared" ref="AE54" si="70">SUM(AE52,AE37,AE23)</f>
        <v>-12702</v>
      </c>
      <c r="AF54" s="49">
        <f t="shared" ref="AF54:AK54" si="71">SUM(AF52,AF37,AF23)</f>
        <v>4558</v>
      </c>
      <c r="AG54" s="49">
        <f t="shared" si="71"/>
        <v>18162</v>
      </c>
      <c r="AH54" s="49">
        <f t="shared" si="71"/>
        <v>-25097</v>
      </c>
      <c r="AI54" s="49">
        <f t="shared" si="71"/>
        <v>5737</v>
      </c>
      <c r="AJ54" s="49">
        <f t="shared" si="71"/>
        <v>3668</v>
      </c>
      <c r="AK54" s="49">
        <f t="shared" si="71"/>
        <v>-2086</v>
      </c>
      <c r="AL54" s="49">
        <f t="shared" ref="AL54:AM54" si="72">SUM(AL52,AL37,AL23)</f>
        <v>6478</v>
      </c>
      <c r="AM54" s="49">
        <f t="shared" si="72"/>
        <v>7049</v>
      </c>
      <c r="AN54" s="49">
        <f t="shared" ref="AN54:AO54" si="73">SUM(AN52,AN37,AN23)</f>
        <v>-10251</v>
      </c>
      <c r="AO54" s="49">
        <f t="shared" si="73"/>
        <v>20797</v>
      </c>
      <c r="AP54" s="49">
        <f t="shared" ref="AP54:AQ54" si="74">SUM(AP52,AP37,AP23)</f>
        <v>15647</v>
      </c>
      <c r="AQ54" s="49">
        <f t="shared" si="74"/>
        <v>-25955</v>
      </c>
      <c r="AR54" s="49">
        <f t="shared" ref="AR54:AS54" si="75">SUM(AR52,AR37,AR23)</f>
        <v>2533</v>
      </c>
      <c r="AS54" s="173">
        <f t="shared" si="75"/>
        <v>-80</v>
      </c>
    </row>
    <row r="55" spans="1:45" ht="20.399999999999999">
      <c r="A55" s="2"/>
      <c r="B55" s="119" t="s">
        <v>108</v>
      </c>
      <c r="C55" s="42">
        <v>38584</v>
      </c>
      <c r="D55" s="42">
        <v>37360</v>
      </c>
      <c r="E55" s="42">
        <v>34931</v>
      </c>
      <c r="F55" s="42">
        <v>16936</v>
      </c>
      <c r="G55" s="42">
        <v>21377</v>
      </c>
      <c r="H55" s="42">
        <v>25947</v>
      </c>
      <c r="I55" s="42">
        <v>21913</v>
      </c>
      <c r="J55" s="42">
        <v>16609</v>
      </c>
      <c r="K55" s="42">
        <v>10976</v>
      </c>
      <c r="L55" s="118">
        <v>11007</v>
      </c>
      <c r="M55" s="42">
        <v>16609</v>
      </c>
      <c r="N55" s="42">
        <f>M57</f>
        <v>12087</v>
      </c>
      <c r="O55" s="42">
        <f>N57</f>
        <v>30781</v>
      </c>
      <c r="P55" s="42">
        <f>O57</f>
        <v>17316</v>
      </c>
      <c r="Q55" s="42">
        <v>21913</v>
      </c>
      <c r="R55" s="42">
        <f>Q57</f>
        <v>26989</v>
      </c>
      <c r="S55" s="42">
        <f>R57</f>
        <v>20897</v>
      </c>
      <c r="T55" s="42">
        <f>S57</f>
        <v>20879</v>
      </c>
      <c r="U55" s="238">
        <v>25947</v>
      </c>
      <c r="V55" s="238">
        <f t="shared" ref="V55:AA55" si="76">U57</f>
        <v>28415</v>
      </c>
      <c r="W55" s="238">
        <f t="shared" si="76"/>
        <v>32803</v>
      </c>
      <c r="X55" s="238">
        <f t="shared" si="76"/>
        <v>24407</v>
      </c>
      <c r="Y55" s="238">
        <v>21377</v>
      </c>
      <c r="Z55" s="238">
        <f>Y57</f>
        <v>26671</v>
      </c>
      <c r="AA55" s="238">
        <f t="shared" si="76"/>
        <v>32572</v>
      </c>
      <c r="AB55" s="238">
        <f>AA57</f>
        <v>26578</v>
      </c>
      <c r="AC55" s="238">
        <v>16936</v>
      </c>
      <c r="AD55" s="238">
        <f t="shared" ref="AD55:AJ55" si="77">AC57</f>
        <v>35951</v>
      </c>
      <c r="AE55" s="238">
        <f t="shared" si="77"/>
        <v>43001</v>
      </c>
      <c r="AF55" s="238">
        <f t="shared" si="77"/>
        <v>30522</v>
      </c>
      <c r="AG55" s="238">
        <f t="shared" si="77"/>
        <v>34931</v>
      </c>
      <c r="AH55" s="238">
        <f t="shared" si="77"/>
        <v>53043</v>
      </c>
      <c r="AI55" s="238">
        <f t="shared" si="77"/>
        <v>27900</v>
      </c>
      <c r="AJ55" s="238">
        <f t="shared" si="77"/>
        <v>33746</v>
      </c>
      <c r="AK55" s="238">
        <f t="shared" ref="AK55:AP55" si="78">AJ57</f>
        <v>37360</v>
      </c>
      <c r="AL55" s="238">
        <f t="shared" si="78"/>
        <v>35228</v>
      </c>
      <c r="AM55" s="238">
        <f t="shared" si="78"/>
        <v>41776</v>
      </c>
      <c r="AN55" s="238">
        <f>AM57</f>
        <v>48830</v>
      </c>
      <c r="AO55" s="238">
        <f t="shared" si="78"/>
        <v>38584</v>
      </c>
      <c r="AP55" s="238">
        <f t="shared" si="78"/>
        <v>59460</v>
      </c>
      <c r="AQ55" s="238">
        <f>AP57</f>
        <v>75009</v>
      </c>
      <c r="AR55" s="238">
        <f>AQ57</f>
        <v>49033</v>
      </c>
      <c r="AS55" s="223">
        <f>AR57</f>
        <v>51588</v>
      </c>
    </row>
    <row r="56" spans="1:45" ht="20.399999999999999">
      <c r="A56" s="2"/>
      <c r="B56" s="119" t="s">
        <v>109</v>
      </c>
      <c r="C56" s="42">
        <v>-18</v>
      </c>
      <c r="D56" s="42">
        <v>34</v>
      </c>
      <c r="E56" s="42">
        <v>-41</v>
      </c>
      <c r="F56" s="42">
        <v>12</v>
      </c>
      <c r="G56" s="42">
        <v>-155</v>
      </c>
      <c r="H56" s="42">
        <v>171</v>
      </c>
      <c r="I56" s="42">
        <v>-66</v>
      </c>
      <c r="J56" s="42">
        <v>103</v>
      </c>
      <c r="K56" s="42">
        <v>-49</v>
      </c>
      <c r="L56" s="118">
        <f>-31</f>
        <v>-31</v>
      </c>
      <c r="M56" s="42">
        <v>33</v>
      </c>
      <c r="N56" s="42">
        <v>29</v>
      </c>
      <c r="O56" s="42">
        <v>-59</v>
      </c>
      <c r="P56" s="42">
        <f>J56-SUM(M56:O56)</f>
        <v>100</v>
      </c>
      <c r="Q56" s="42">
        <v>-72</v>
      </c>
      <c r="R56" s="42">
        <v>21</v>
      </c>
      <c r="S56" s="42">
        <v>2</v>
      </c>
      <c r="T56" s="42">
        <f>I56-SUM(Q56:S56)</f>
        <v>-17</v>
      </c>
      <c r="U56" s="239">
        <v>-25</v>
      </c>
      <c r="V56" s="239">
        <v>30</v>
      </c>
      <c r="W56" s="239">
        <v>-70</v>
      </c>
      <c r="X56" s="239">
        <f t="shared" ref="X56" si="79">H56-SUM(U56:W56)</f>
        <v>236</v>
      </c>
      <c r="Y56" s="239">
        <v>-43</v>
      </c>
      <c r="Z56" s="239">
        <f>22-Y56</f>
        <v>65</v>
      </c>
      <c r="AA56" s="239">
        <f>-148-Z56-Y56</f>
        <v>-170</v>
      </c>
      <c r="AB56" s="42">
        <f>G56-SUM(Y56:AA56)</f>
        <v>-7</v>
      </c>
      <c r="AC56" s="42">
        <v>-88</v>
      </c>
      <c r="AD56" s="42">
        <f>-62-AC56</f>
        <v>26</v>
      </c>
      <c r="AE56" s="42">
        <f>161-AD56-AC56</f>
        <v>223</v>
      </c>
      <c r="AF56" s="239">
        <f>F56-SUM(AC56:AE56)</f>
        <v>-149</v>
      </c>
      <c r="AG56" s="239">
        <v>-50</v>
      </c>
      <c r="AH56" s="239">
        <f>-96-AG56</f>
        <v>-46</v>
      </c>
      <c r="AI56" s="239">
        <f>13-AH56-AG56</f>
        <v>109</v>
      </c>
      <c r="AJ56" s="159">
        <f>E56-SUM(AG56:AI56)</f>
        <v>-54</v>
      </c>
      <c r="AK56" s="159">
        <v>-46</v>
      </c>
      <c r="AL56" s="159">
        <f>24-AK56</f>
        <v>70</v>
      </c>
      <c r="AM56" s="159">
        <f>29-AL56-AK56</f>
        <v>5</v>
      </c>
      <c r="AN56" s="159">
        <f>D56-SUM(AK56:AM56)</f>
        <v>5</v>
      </c>
      <c r="AO56" s="159">
        <v>79</v>
      </c>
      <c r="AP56" s="159">
        <f>-19-AO56</f>
        <v>-98</v>
      </c>
      <c r="AQ56" s="159">
        <f>-40-AP56-AO56</f>
        <v>-21</v>
      </c>
      <c r="AR56" s="287">
        <f t="shared" ref="AR56:AS56" si="80">C56-SUM(AO56:AQ56)</f>
        <v>22</v>
      </c>
      <c r="AS56" s="167">
        <v>101</v>
      </c>
    </row>
    <row r="57" spans="1:45" ht="21" thickBot="1">
      <c r="A57" s="2"/>
      <c r="B57" s="174" t="s">
        <v>110</v>
      </c>
      <c r="C57" s="175">
        <f>SUM(C54:C56)</f>
        <v>51588</v>
      </c>
      <c r="D57" s="175">
        <f>SUM(D54:D56)</f>
        <v>38584</v>
      </c>
      <c r="E57" s="175">
        <f>SUM(E54:E56)</f>
        <v>37360</v>
      </c>
      <c r="F57" s="175">
        <f>SUM(F54:F56)</f>
        <v>34931</v>
      </c>
      <c r="G57" s="175">
        <f>SUM(G54:G56)</f>
        <v>16936</v>
      </c>
      <c r="H57" s="175">
        <f>SUM(H54:H56)-H56</f>
        <v>21206</v>
      </c>
      <c r="I57" s="175">
        <f t="shared" ref="I57:L57" si="81">SUM(I54:I56)-I56</f>
        <v>26013</v>
      </c>
      <c r="J57" s="175">
        <f t="shared" si="81"/>
        <v>21810</v>
      </c>
      <c r="K57" s="175">
        <f t="shared" si="81"/>
        <v>16658</v>
      </c>
      <c r="L57" s="176">
        <f t="shared" si="81"/>
        <v>11007</v>
      </c>
      <c r="M57" s="175">
        <f>SUM(M54:M56)-M56</f>
        <v>12087</v>
      </c>
      <c r="N57" s="175">
        <f t="shared" ref="N57:X57" si="82">SUM(N54:N55)</f>
        <v>30781</v>
      </c>
      <c r="O57" s="175">
        <f t="shared" si="82"/>
        <v>17316</v>
      </c>
      <c r="P57" s="175">
        <f t="shared" si="82"/>
        <v>21810</v>
      </c>
      <c r="Q57" s="175">
        <f t="shared" si="82"/>
        <v>26989</v>
      </c>
      <c r="R57" s="175">
        <f t="shared" si="82"/>
        <v>20897</v>
      </c>
      <c r="S57" s="175">
        <f t="shared" si="82"/>
        <v>20879</v>
      </c>
      <c r="T57" s="175">
        <f t="shared" si="82"/>
        <v>26013</v>
      </c>
      <c r="U57" s="175">
        <f t="shared" si="82"/>
        <v>28415</v>
      </c>
      <c r="V57" s="175">
        <f t="shared" si="82"/>
        <v>32803</v>
      </c>
      <c r="W57" s="175">
        <f t="shared" si="82"/>
        <v>24407</v>
      </c>
      <c r="X57" s="175">
        <f t="shared" si="82"/>
        <v>21206</v>
      </c>
      <c r="Y57" s="175">
        <f t="shared" ref="Y57:AG57" si="83">SUM(Y54:Y56)</f>
        <v>26671</v>
      </c>
      <c r="Z57" s="175">
        <f t="shared" si="83"/>
        <v>32572</v>
      </c>
      <c r="AA57" s="175">
        <f t="shared" si="83"/>
        <v>26578</v>
      </c>
      <c r="AB57" s="175">
        <f t="shared" si="83"/>
        <v>16936</v>
      </c>
      <c r="AC57" s="175">
        <f t="shared" si="83"/>
        <v>35951</v>
      </c>
      <c r="AD57" s="175">
        <f>SUM(AD54:AD56)</f>
        <v>43001</v>
      </c>
      <c r="AE57" s="175">
        <f>SUM(AE54:AE56)</f>
        <v>30522</v>
      </c>
      <c r="AF57" s="175">
        <f t="shared" si="83"/>
        <v>34931</v>
      </c>
      <c r="AG57" s="175">
        <f t="shared" si="83"/>
        <v>53043</v>
      </c>
      <c r="AH57" s="175">
        <f t="shared" ref="AH57:AN57" si="84">SUM(AH54:AH56)</f>
        <v>27900</v>
      </c>
      <c r="AI57" s="175">
        <f t="shared" si="84"/>
        <v>33746</v>
      </c>
      <c r="AJ57" s="175">
        <f t="shared" si="84"/>
        <v>37360</v>
      </c>
      <c r="AK57" s="175">
        <f t="shared" si="84"/>
        <v>35228</v>
      </c>
      <c r="AL57" s="175">
        <f t="shared" si="84"/>
        <v>41776</v>
      </c>
      <c r="AM57" s="175">
        <f t="shared" si="84"/>
        <v>48830</v>
      </c>
      <c r="AN57" s="175">
        <f t="shared" si="84"/>
        <v>38584</v>
      </c>
      <c r="AO57" s="175">
        <f t="shared" ref="AO57:AP57" si="85">SUM(AO54:AO56)</f>
        <v>59460</v>
      </c>
      <c r="AP57" s="175">
        <f t="shared" si="85"/>
        <v>75009</v>
      </c>
      <c r="AQ57" s="175">
        <f t="shared" ref="AQ57:AR57" si="86">SUM(AQ54:AQ56)</f>
        <v>49033</v>
      </c>
      <c r="AR57" s="175">
        <f t="shared" si="86"/>
        <v>51588</v>
      </c>
      <c r="AS57" s="176">
        <f t="shared" ref="AS57" si="87">SUM(AS54:AS56)</f>
        <v>51609</v>
      </c>
    </row>
    <row r="58" spans="1:45">
      <c r="A58" s="2"/>
      <c r="B58" s="43"/>
      <c r="C58" s="43"/>
      <c r="D58" s="43"/>
      <c r="E58" s="43"/>
      <c r="F58" s="43"/>
      <c r="G58" s="43"/>
      <c r="H58" s="247"/>
      <c r="I58" s="43"/>
      <c r="J58" s="50"/>
      <c r="K58" s="50"/>
      <c r="L58"/>
      <c r="M58" s="42"/>
      <c r="N58" s="21"/>
      <c r="O58" s="11"/>
      <c r="P58" s="11"/>
      <c r="Q58" s="11"/>
      <c r="R58" s="11"/>
      <c r="S58" s="11"/>
      <c r="T58" s="11"/>
      <c r="U58" s="11"/>
      <c r="V58" s="11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</row>
    <row r="59" spans="1:45" ht="27" customHeight="1">
      <c r="A59" s="2"/>
      <c r="B59" s="268" t="s">
        <v>121</v>
      </c>
      <c r="C59" s="268"/>
      <c r="D59" s="268"/>
      <c r="E59" s="268"/>
      <c r="F59" s="268"/>
      <c r="G59" s="268"/>
      <c r="H59" s="268"/>
      <c r="I59" s="268"/>
      <c r="J59" s="268"/>
      <c r="K59" s="268"/>
      <c r="L59"/>
      <c r="M59" s="50"/>
      <c r="N59" s="21"/>
      <c r="O59" s="11"/>
      <c r="P59" s="11"/>
      <c r="Q59" s="11"/>
      <c r="R59" s="11"/>
      <c r="S59" s="11"/>
      <c r="T59" s="11"/>
      <c r="U59" s="11"/>
      <c r="V59" s="11"/>
      <c r="W59"/>
      <c r="X59"/>
      <c r="Y59"/>
      <c r="Z59" s="222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</row>
  </sheetData>
  <mergeCells count="3">
    <mergeCell ref="B59:K59"/>
    <mergeCell ref="C2:L2"/>
    <mergeCell ref="M2:AS2"/>
  </mergeCells>
  <phoneticPr fontId="23" type="noConversion"/>
  <pageMargins left="0.43307086614173229" right="0.31496062992125984" top="0.74803149606299213" bottom="0.74803149606299213" header="0.31496062992125984" footer="0.31496062992125984"/>
  <pageSetup paperSize="9" scale="33" orientation="portrait" horizontalDpi="300" verticalDpi="300" r:id="rId1"/>
  <rowBreaks count="2" manualBreakCount="2">
    <brk id="51" max="16383" man="1"/>
    <brk id="69" max="16383" man="1"/>
  </rowBreaks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Y20"/>
  <sheetViews>
    <sheetView showGridLines="0" topLeftCell="CR1" zoomScaleNormal="100" workbookViewId="0">
      <selection activeCell="CR7" sqref="CR7"/>
    </sheetView>
  </sheetViews>
  <sheetFormatPr defaultColWidth="9" defaultRowHeight="13.8"/>
  <cols>
    <col min="1" max="1" width="5.19921875" style="5" customWidth="1"/>
    <col min="2" max="2" width="6.59765625" style="5" customWidth="1"/>
    <col min="3" max="3" width="38.59765625" style="5" customWidth="1"/>
    <col min="4" max="4" width="12.19921875" style="5" bestFit="1" customWidth="1"/>
    <col min="5" max="11" width="10.59765625" style="5" customWidth="1"/>
    <col min="12" max="12" width="11.3984375" style="5" customWidth="1"/>
    <col min="13" max="15" width="10.59765625" style="5" customWidth="1"/>
    <col min="16" max="30" width="10.8984375" style="5" bestFit="1" customWidth="1"/>
    <col min="31" max="16384" width="9" style="5"/>
  </cols>
  <sheetData>
    <row r="1" spans="1:103" ht="73.5" customHeight="1"/>
    <row r="2" spans="1:10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 s="269"/>
      <c r="CX2" s="269"/>
      <c r="CY2" s="269"/>
    </row>
    <row r="3" spans="1:10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 s="269"/>
      <c r="CX3" s="269"/>
      <c r="CY3" s="269"/>
    </row>
    <row r="4" spans="1:10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 s="269"/>
      <c r="CX4" s="269"/>
      <c r="CY4" s="269"/>
    </row>
    <row r="5" spans="1:10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 s="269"/>
      <c r="CX5" s="269"/>
      <c r="CY5" s="269"/>
    </row>
    <row r="6" spans="1:10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 s="269"/>
      <c r="CX6" s="269"/>
      <c r="CY6" s="269"/>
    </row>
    <row r="7" spans="1:10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 s="269"/>
      <c r="CX7" s="269"/>
      <c r="CY7" s="269"/>
    </row>
    <row r="8" spans="1:103" ht="14.4" thickBo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 s="269"/>
      <c r="CX8" s="269"/>
      <c r="CY8" s="269"/>
    </row>
    <row r="9" spans="1:103">
      <c r="A9"/>
      <c r="B9"/>
      <c r="C9" s="224" t="s">
        <v>130</v>
      </c>
      <c r="D9" s="225">
        <v>43101</v>
      </c>
      <c r="E9" s="225">
        <v>43132</v>
      </c>
      <c r="F9" s="225">
        <v>43160</v>
      </c>
      <c r="G9" s="225">
        <v>43191</v>
      </c>
      <c r="H9" s="225">
        <v>43221</v>
      </c>
      <c r="I9" s="225">
        <v>43252</v>
      </c>
      <c r="J9" s="225">
        <v>43282</v>
      </c>
      <c r="K9" s="225">
        <v>43313</v>
      </c>
      <c r="L9" s="225">
        <v>43344</v>
      </c>
      <c r="M9" s="225">
        <v>43374</v>
      </c>
      <c r="N9" s="225">
        <v>43405</v>
      </c>
      <c r="O9" s="225">
        <v>43435</v>
      </c>
      <c r="P9" s="225">
        <v>43466</v>
      </c>
      <c r="Q9" s="225">
        <v>43497</v>
      </c>
      <c r="R9" s="225">
        <v>43525</v>
      </c>
      <c r="S9" s="225">
        <v>43556</v>
      </c>
      <c r="T9" s="225">
        <v>43586</v>
      </c>
      <c r="U9" s="225">
        <v>43617</v>
      </c>
      <c r="V9" s="225">
        <v>43647</v>
      </c>
      <c r="W9" s="225">
        <v>43678</v>
      </c>
      <c r="X9" s="225">
        <v>43709</v>
      </c>
      <c r="Y9" s="225">
        <v>43739</v>
      </c>
      <c r="Z9" s="225">
        <v>43770</v>
      </c>
      <c r="AA9" s="225">
        <v>43800</v>
      </c>
      <c r="AB9" s="225">
        <v>43831</v>
      </c>
      <c r="AC9" s="225">
        <v>43862</v>
      </c>
      <c r="AD9" s="225">
        <v>43891</v>
      </c>
      <c r="AE9" s="225">
        <v>43922</v>
      </c>
      <c r="AF9" s="225">
        <v>43952</v>
      </c>
      <c r="AG9" s="225">
        <v>43983</v>
      </c>
      <c r="AH9" s="225">
        <v>44013</v>
      </c>
      <c r="AI9" s="225">
        <v>44044</v>
      </c>
      <c r="AJ9" s="225">
        <v>44075</v>
      </c>
      <c r="AK9" s="225">
        <v>44105</v>
      </c>
      <c r="AL9" s="225">
        <v>44136</v>
      </c>
      <c r="AM9" s="225">
        <v>44166</v>
      </c>
      <c r="AN9" s="225">
        <v>44197</v>
      </c>
      <c r="AO9" s="225">
        <v>44228</v>
      </c>
      <c r="AP9" s="225">
        <v>44256</v>
      </c>
      <c r="AQ9" s="225">
        <v>44287</v>
      </c>
      <c r="AR9" s="225">
        <v>44317</v>
      </c>
      <c r="AS9" s="225">
        <v>44348</v>
      </c>
      <c r="AT9" s="225">
        <v>44378</v>
      </c>
      <c r="AU9" s="225">
        <v>44409</v>
      </c>
      <c r="AV9" s="225">
        <v>44440</v>
      </c>
      <c r="AW9" s="225">
        <v>44470</v>
      </c>
      <c r="AX9" s="225">
        <v>44501</v>
      </c>
      <c r="AY9" s="225">
        <v>44531</v>
      </c>
      <c r="AZ9" s="225">
        <v>44562</v>
      </c>
      <c r="BA9" s="225">
        <v>44593</v>
      </c>
      <c r="BB9" s="225">
        <v>44621</v>
      </c>
      <c r="BC9" s="225">
        <v>44652</v>
      </c>
      <c r="BD9" s="225">
        <v>44682</v>
      </c>
      <c r="BE9" s="225">
        <v>44713</v>
      </c>
      <c r="BF9" s="225">
        <v>44743</v>
      </c>
      <c r="BG9" s="225">
        <v>44774</v>
      </c>
      <c r="BH9" s="225">
        <v>44805</v>
      </c>
      <c r="BI9" s="225">
        <v>44835</v>
      </c>
      <c r="BJ9" s="225">
        <v>44866</v>
      </c>
      <c r="BK9" s="225">
        <v>44896</v>
      </c>
      <c r="BL9" s="225">
        <v>44927</v>
      </c>
      <c r="BM9" s="225">
        <v>44958</v>
      </c>
      <c r="BN9" s="225">
        <v>44986</v>
      </c>
      <c r="BO9" s="225">
        <v>45017</v>
      </c>
      <c r="BP9" s="225">
        <v>45047</v>
      </c>
      <c r="BQ9" s="225">
        <v>45078</v>
      </c>
      <c r="BR9" s="225">
        <v>45108</v>
      </c>
      <c r="BS9" s="225">
        <v>45139</v>
      </c>
      <c r="BT9" s="225">
        <v>45170</v>
      </c>
      <c r="BU9" s="225">
        <v>45200</v>
      </c>
      <c r="BV9" s="225">
        <v>45231</v>
      </c>
      <c r="BW9" s="225">
        <v>45261</v>
      </c>
      <c r="BX9" s="225">
        <v>45292</v>
      </c>
      <c r="BY9" s="225">
        <v>45323</v>
      </c>
      <c r="BZ9" s="225">
        <v>45352</v>
      </c>
      <c r="CA9" s="225">
        <v>45383</v>
      </c>
      <c r="CB9" s="225">
        <v>45413</v>
      </c>
      <c r="CC9" s="225">
        <v>45444</v>
      </c>
      <c r="CD9" s="225">
        <v>45474</v>
      </c>
      <c r="CE9" s="225">
        <v>45505</v>
      </c>
      <c r="CF9" s="225">
        <v>45536</v>
      </c>
      <c r="CG9" s="225">
        <v>45566</v>
      </c>
      <c r="CH9" s="225">
        <v>45597</v>
      </c>
      <c r="CI9" s="225">
        <v>45627</v>
      </c>
      <c r="CJ9" s="225">
        <v>45658</v>
      </c>
      <c r="CK9" s="225">
        <v>45689</v>
      </c>
      <c r="CL9" s="225">
        <v>45717</v>
      </c>
      <c r="CM9" s="225">
        <v>45748</v>
      </c>
      <c r="CN9" s="225">
        <v>45778</v>
      </c>
      <c r="CO9" s="225">
        <v>45809</v>
      </c>
      <c r="CP9" s="225">
        <v>45839</v>
      </c>
      <c r="CQ9" s="225">
        <v>45870</v>
      </c>
      <c r="CR9" s="225">
        <v>45901</v>
      </c>
      <c r="CS9" s="225">
        <v>45931</v>
      </c>
      <c r="CT9" s="225">
        <v>45962</v>
      </c>
      <c r="CU9" s="225">
        <v>45992</v>
      </c>
      <c r="CV9" s="225">
        <v>46023</v>
      </c>
      <c r="CW9" s="225">
        <v>46054</v>
      </c>
      <c r="CX9" s="226">
        <v>46082</v>
      </c>
      <c r="CY9" s="269"/>
    </row>
    <row r="10" spans="1:103" ht="16.5" customHeight="1">
      <c r="A10"/>
      <c r="B10"/>
      <c r="C10" s="233" t="s">
        <v>126</v>
      </c>
      <c r="D10" s="234">
        <v>86099</v>
      </c>
      <c r="E10" s="234">
        <v>78440</v>
      </c>
      <c r="F10" s="234">
        <v>90463</v>
      </c>
      <c r="G10" s="234">
        <v>101195</v>
      </c>
      <c r="H10" s="234">
        <v>101382</v>
      </c>
      <c r="I10" s="234">
        <v>101262</v>
      </c>
      <c r="J10" s="234">
        <v>102541</v>
      </c>
      <c r="K10" s="234">
        <v>101458</v>
      </c>
      <c r="L10" s="234">
        <v>95240</v>
      </c>
      <c r="M10" s="234">
        <v>113597</v>
      </c>
      <c r="N10" s="234">
        <v>101402</v>
      </c>
      <c r="O10" s="234">
        <v>78947</v>
      </c>
      <c r="P10" s="234">
        <v>100193</v>
      </c>
      <c r="Q10" s="234">
        <v>102995</v>
      </c>
      <c r="R10" s="234">
        <v>123492</v>
      </c>
      <c r="S10" s="234">
        <v>132034</v>
      </c>
      <c r="T10" s="234">
        <v>132426</v>
      </c>
      <c r="U10" s="234">
        <v>128433</v>
      </c>
      <c r="V10" s="234">
        <v>139225</v>
      </c>
      <c r="W10" s="234">
        <v>125674</v>
      </c>
      <c r="X10" s="234">
        <v>126620</v>
      </c>
      <c r="Y10" s="234">
        <v>137710</v>
      </c>
      <c r="Z10" s="234">
        <v>125091</v>
      </c>
      <c r="AA10" s="234">
        <v>105478</v>
      </c>
      <c r="AB10" s="234">
        <v>127072</v>
      </c>
      <c r="AC10" s="234">
        <v>124431</v>
      </c>
      <c r="AD10" s="234">
        <v>119599</v>
      </c>
      <c r="AE10" s="234">
        <v>112554</v>
      </c>
      <c r="AF10" s="234">
        <v>132847</v>
      </c>
      <c r="AG10" s="234">
        <v>150709</v>
      </c>
      <c r="AH10" s="234">
        <v>165396</v>
      </c>
      <c r="AI10" s="234">
        <v>146046</v>
      </c>
      <c r="AJ10" s="234">
        <v>158088</v>
      </c>
      <c r="AK10" s="234">
        <v>155757</v>
      </c>
      <c r="AL10" s="234">
        <v>145382</v>
      </c>
      <c r="AM10" s="234">
        <v>131999</v>
      </c>
      <c r="AN10" s="234">
        <v>145588</v>
      </c>
      <c r="AO10" s="234">
        <v>145882</v>
      </c>
      <c r="AP10" s="234">
        <v>184218</v>
      </c>
      <c r="AQ10" s="234">
        <v>179144</v>
      </c>
      <c r="AR10" s="234">
        <v>199445</v>
      </c>
      <c r="AS10" s="234">
        <v>208633</v>
      </c>
      <c r="AT10" s="234">
        <v>206782</v>
      </c>
      <c r="AU10" s="234">
        <v>196430</v>
      </c>
      <c r="AV10" s="234">
        <v>208409</v>
      </c>
      <c r="AW10" s="234">
        <v>203537</v>
      </c>
      <c r="AX10" s="234">
        <v>200755</v>
      </c>
      <c r="AY10" s="234">
        <v>181619</v>
      </c>
      <c r="AZ10" s="234">
        <v>198034</v>
      </c>
      <c r="BA10" s="234">
        <v>197964</v>
      </c>
      <c r="BB10" s="234">
        <v>243574</v>
      </c>
      <c r="BC10" s="234">
        <v>211391</v>
      </c>
      <c r="BD10" s="234">
        <v>239049</v>
      </c>
      <c r="BE10" s="234">
        <v>246507</v>
      </c>
      <c r="BF10" s="234">
        <v>246463</v>
      </c>
      <c r="BG10" s="234">
        <v>245387</v>
      </c>
      <c r="BH10" s="234">
        <v>259365</v>
      </c>
      <c r="BI10" s="234">
        <v>254808</v>
      </c>
      <c r="BJ10" s="234">
        <v>259980</v>
      </c>
      <c r="BK10" s="234">
        <v>222180</v>
      </c>
      <c r="BL10" s="234">
        <v>265474</v>
      </c>
      <c r="BM10" s="234">
        <v>255318</v>
      </c>
      <c r="BN10" s="234">
        <v>315852</v>
      </c>
      <c r="BO10" s="234">
        <v>287908</v>
      </c>
      <c r="BP10" s="234">
        <v>333214</v>
      </c>
      <c r="BQ10" s="234">
        <v>317418</v>
      </c>
      <c r="BR10" s="234">
        <v>313364</v>
      </c>
      <c r="BS10" s="234">
        <v>310191</v>
      </c>
      <c r="BT10" s="234">
        <v>332719</v>
      </c>
      <c r="BU10" s="234">
        <v>338749</v>
      </c>
      <c r="BV10" s="234">
        <v>324656</v>
      </c>
      <c r="BW10" s="234">
        <v>258520</v>
      </c>
      <c r="BX10" s="234">
        <v>322763</v>
      </c>
      <c r="BY10" s="234">
        <v>338989</v>
      </c>
      <c r="BZ10" s="234">
        <v>332998</v>
      </c>
      <c r="CA10" s="234">
        <v>353339</v>
      </c>
      <c r="CB10" s="234">
        <v>357454</v>
      </c>
      <c r="CC10" s="234">
        <v>351298</v>
      </c>
      <c r="CD10" s="234">
        <v>376204</v>
      </c>
      <c r="CE10" s="234">
        <v>332844</v>
      </c>
      <c r="CF10" s="234">
        <v>351779</v>
      </c>
      <c r="CG10" s="234">
        <v>381676</v>
      </c>
      <c r="CH10" s="234">
        <v>340006</v>
      </c>
      <c r="CI10" s="234">
        <v>273144</v>
      </c>
      <c r="CJ10" s="234">
        <v>351168</v>
      </c>
      <c r="CK10" s="234">
        <v>345733</v>
      </c>
      <c r="CL10" s="234">
        <v>376392</v>
      </c>
      <c r="CM10" s="234">
        <v>372409</v>
      </c>
      <c r="CN10" s="234">
        <v>387236</v>
      </c>
      <c r="CO10" s="234">
        <v>380984</v>
      </c>
      <c r="CP10" s="234">
        <v>406729</v>
      </c>
      <c r="CQ10" s="234">
        <v>339114</v>
      </c>
      <c r="CR10" s="234">
        <v>389653</v>
      </c>
      <c r="CS10" s="234">
        <v>402244</v>
      </c>
      <c r="CT10" s="234">
        <v>349005</v>
      </c>
      <c r="CU10" s="234">
        <v>322040</v>
      </c>
      <c r="CV10" s="234">
        <v>363190</v>
      </c>
      <c r="CW10" s="234">
        <v>356163</v>
      </c>
      <c r="CX10" s="235">
        <v>449781</v>
      </c>
      <c r="CY10" s="269"/>
    </row>
    <row r="11" spans="1:103">
      <c r="A11"/>
      <c r="B11"/>
      <c r="C11" s="227" t="s">
        <v>127</v>
      </c>
      <c r="D11" s="228">
        <v>86155</v>
      </c>
      <c r="E11" s="228">
        <v>78447</v>
      </c>
      <c r="F11" s="228">
        <v>90515</v>
      </c>
      <c r="G11" s="228">
        <v>101133</v>
      </c>
      <c r="H11" s="228">
        <v>101272</v>
      </c>
      <c r="I11" s="228">
        <v>101235</v>
      </c>
      <c r="J11" s="228">
        <v>102488</v>
      </c>
      <c r="K11" s="228">
        <v>101704</v>
      </c>
      <c r="L11" s="228">
        <v>95707</v>
      </c>
      <c r="M11" s="228">
        <v>113482</v>
      </c>
      <c r="N11" s="228">
        <v>101241</v>
      </c>
      <c r="O11" s="228">
        <v>78857</v>
      </c>
      <c r="P11" s="228">
        <v>100020</v>
      </c>
      <c r="Q11" s="228">
        <v>102930</v>
      </c>
      <c r="R11" s="228">
        <v>123690</v>
      </c>
      <c r="S11" s="228">
        <v>131863</v>
      </c>
      <c r="T11" s="228">
        <v>132340</v>
      </c>
      <c r="U11" s="228">
        <v>128695</v>
      </c>
      <c r="V11" s="228">
        <v>139359</v>
      </c>
      <c r="W11" s="228">
        <v>125470</v>
      </c>
      <c r="X11" s="228">
        <v>126886</v>
      </c>
      <c r="Y11" s="228">
        <v>137423</v>
      </c>
      <c r="Z11" s="228">
        <v>124548</v>
      </c>
      <c r="AA11" s="228">
        <v>105850</v>
      </c>
      <c r="AB11" s="228">
        <v>126779</v>
      </c>
      <c r="AC11" s="228">
        <v>124394</v>
      </c>
      <c r="AD11" s="228">
        <v>119870</v>
      </c>
      <c r="AE11" s="228">
        <v>112329</v>
      </c>
      <c r="AF11" s="228">
        <v>132680</v>
      </c>
      <c r="AG11" s="228">
        <v>150582</v>
      </c>
      <c r="AH11" s="228">
        <v>165266</v>
      </c>
      <c r="AI11" s="228">
        <v>146166</v>
      </c>
      <c r="AJ11" s="228">
        <v>159393</v>
      </c>
      <c r="AK11" s="228">
        <v>155548</v>
      </c>
      <c r="AL11" s="228">
        <v>144933</v>
      </c>
      <c r="AM11" s="228">
        <v>133438</v>
      </c>
      <c r="AN11" s="228">
        <v>145552</v>
      </c>
      <c r="AO11" s="228">
        <v>145861</v>
      </c>
      <c r="AP11" s="228">
        <v>185063</v>
      </c>
      <c r="AQ11" s="228">
        <v>178771</v>
      </c>
      <c r="AR11" s="228">
        <v>198988</v>
      </c>
      <c r="AS11" s="228">
        <v>209160</v>
      </c>
      <c r="AT11" s="228">
        <v>206258</v>
      </c>
      <c r="AU11" s="228">
        <v>196075</v>
      </c>
      <c r="AV11" s="228">
        <v>209239</v>
      </c>
      <c r="AW11" s="228">
        <v>203158</v>
      </c>
      <c r="AX11" s="228">
        <v>200405</v>
      </c>
      <c r="AY11" s="228">
        <v>181069</v>
      </c>
      <c r="AZ11" s="228">
        <v>197607</v>
      </c>
      <c r="BA11" s="228">
        <v>197591</v>
      </c>
      <c r="BB11" s="228">
        <v>244845</v>
      </c>
      <c r="BC11" s="228">
        <v>211009</v>
      </c>
      <c r="BD11" s="228">
        <v>238657</v>
      </c>
      <c r="BE11" s="228">
        <v>247916</v>
      </c>
      <c r="BF11" s="228">
        <v>245253</v>
      </c>
      <c r="BG11" s="228">
        <v>244944</v>
      </c>
      <c r="BH11" s="228">
        <v>261786</v>
      </c>
      <c r="BI11" s="228">
        <v>254358</v>
      </c>
      <c r="BJ11" s="228">
        <v>259545</v>
      </c>
      <c r="BK11" s="228">
        <v>223478</v>
      </c>
      <c r="BL11" s="228">
        <v>265152</v>
      </c>
      <c r="BM11" s="228">
        <v>255063</v>
      </c>
      <c r="BN11" s="228">
        <v>317024</v>
      </c>
      <c r="BO11" s="228">
        <v>287738</v>
      </c>
      <c r="BP11" s="228">
        <v>333028</v>
      </c>
      <c r="BQ11" s="228">
        <v>317663</v>
      </c>
      <c r="BR11" s="228">
        <v>313136</v>
      </c>
      <c r="BS11" s="228">
        <v>309942</v>
      </c>
      <c r="BT11" s="228">
        <v>335458</v>
      </c>
      <c r="BU11" s="228">
        <v>338210</v>
      </c>
      <c r="BV11" s="228">
        <v>323454</v>
      </c>
      <c r="BW11" s="228">
        <v>258864</v>
      </c>
      <c r="BX11" s="228">
        <v>322652</v>
      </c>
      <c r="BY11" s="228">
        <v>338725</v>
      </c>
      <c r="BZ11" s="228">
        <v>335070</v>
      </c>
      <c r="CA11" s="228">
        <v>352702</v>
      </c>
      <c r="CB11" s="228">
        <v>356766</v>
      </c>
      <c r="CC11" s="228">
        <v>352143</v>
      </c>
      <c r="CD11" s="228">
        <v>375826</v>
      </c>
      <c r="CE11" s="228">
        <v>332343</v>
      </c>
      <c r="CF11" s="228">
        <v>353551</v>
      </c>
      <c r="CG11" s="228">
        <v>381217</v>
      </c>
      <c r="CH11" s="228">
        <v>339138</v>
      </c>
      <c r="CI11" s="228">
        <v>270899</v>
      </c>
      <c r="CJ11" s="228">
        <v>352387</v>
      </c>
      <c r="CK11" s="228">
        <v>345759</v>
      </c>
      <c r="CL11" s="228">
        <v>377428</v>
      </c>
      <c r="CM11" s="228">
        <v>371452</v>
      </c>
      <c r="CN11" s="228">
        <v>386379</v>
      </c>
      <c r="CO11" s="228">
        <v>379707</v>
      </c>
      <c r="CP11" s="228">
        <v>405379</v>
      </c>
      <c r="CQ11" s="228">
        <v>338271</v>
      </c>
      <c r="CR11" s="228">
        <v>388668</v>
      </c>
      <c r="CS11" s="228">
        <v>401393</v>
      </c>
      <c r="CT11" s="228">
        <v>348005</v>
      </c>
      <c r="CU11" s="292">
        <v>321424</v>
      </c>
      <c r="CV11" s="292">
        <v>363403</v>
      </c>
      <c r="CW11" s="292">
        <v>354944</v>
      </c>
      <c r="CX11" s="229">
        <v>449063</v>
      </c>
      <c r="CY11" s="269"/>
    </row>
    <row r="12" spans="1:103">
      <c r="A12"/>
      <c r="B12"/>
      <c r="C12" s="227" t="s">
        <v>128</v>
      </c>
      <c r="D12" s="228">
        <v>16997</v>
      </c>
      <c r="E12" s="228">
        <v>23013</v>
      </c>
      <c r="F12" s="228">
        <v>23355</v>
      </c>
      <c r="G12" s="228">
        <v>12049</v>
      </c>
      <c r="H12" s="228">
        <v>6247</v>
      </c>
      <c r="I12" s="228">
        <v>10137</v>
      </c>
      <c r="J12" s="228">
        <v>9445</v>
      </c>
      <c r="K12" s="228">
        <v>12713</v>
      </c>
      <c r="L12" s="228">
        <v>12887</v>
      </c>
      <c r="M12" s="228">
        <v>14504</v>
      </c>
      <c r="N12" s="228">
        <v>15846</v>
      </c>
      <c r="O12" s="228">
        <v>8936</v>
      </c>
      <c r="P12" s="228">
        <v>18576</v>
      </c>
      <c r="Q12" s="228">
        <v>19650</v>
      </c>
      <c r="R12" s="228">
        <v>21036</v>
      </c>
      <c r="S12" s="228">
        <v>25214</v>
      </c>
      <c r="T12" s="228">
        <v>15150</v>
      </c>
      <c r="U12" s="228">
        <v>7623</v>
      </c>
      <c r="V12" s="228">
        <v>16130</v>
      </c>
      <c r="W12" s="228">
        <v>16025</v>
      </c>
      <c r="X12" s="228">
        <v>13123</v>
      </c>
      <c r="Y12" s="228">
        <v>26264</v>
      </c>
      <c r="Z12" s="228">
        <v>26875</v>
      </c>
      <c r="AA12" s="228">
        <v>22671</v>
      </c>
      <c r="AB12" s="228">
        <v>39950</v>
      </c>
      <c r="AC12" s="228">
        <v>22782</v>
      </c>
      <c r="AD12" s="228">
        <v>27062</v>
      </c>
      <c r="AE12" s="228">
        <v>4860</v>
      </c>
      <c r="AF12" s="228">
        <v>8265</v>
      </c>
      <c r="AG12" s="228">
        <v>20361</v>
      </c>
      <c r="AH12" s="228">
        <v>18296</v>
      </c>
      <c r="AI12" s="228">
        <v>13860</v>
      </c>
      <c r="AJ12" s="228">
        <v>22839</v>
      </c>
      <c r="AK12" s="228">
        <v>22893</v>
      </c>
      <c r="AL12" s="228">
        <v>27692</v>
      </c>
      <c r="AM12" s="228">
        <v>20569</v>
      </c>
      <c r="AN12" s="228">
        <v>41822</v>
      </c>
      <c r="AO12" s="228">
        <v>28682</v>
      </c>
      <c r="AP12" s="228">
        <v>38770</v>
      </c>
      <c r="AQ12" s="228">
        <v>15593</v>
      </c>
      <c r="AR12" s="228">
        <v>7777</v>
      </c>
      <c r="AS12" s="228">
        <v>17655</v>
      </c>
      <c r="AT12" s="228">
        <v>19214</v>
      </c>
      <c r="AU12" s="228">
        <v>24027</v>
      </c>
      <c r="AV12" s="228">
        <v>31290</v>
      </c>
      <c r="AW12" s="228">
        <v>39465</v>
      </c>
      <c r="AX12" s="228">
        <v>36846</v>
      </c>
      <c r="AY12" s="228">
        <v>42918</v>
      </c>
      <c r="AZ12" s="228">
        <v>40495</v>
      </c>
      <c r="BA12" s="228">
        <v>60686</v>
      </c>
      <c r="BB12" s="228">
        <v>46531</v>
      </c>
      <c r="BC12" s="228">
        <v>54895</v>
      </c>
      <c r="BD12" s="228">
        <v>27536</v>
      </c>
      <c r="BE12" s="228">
        <v>33890</v>
      </c>
      <c r="BF12" s="228">
        <v>25578</v>
      </c>
      <c r="BG12" s="228">
        <v>28506</v>
      </c>
      <c r="BH12" s="228">
        <v>38823</v>
      </c>
      <c r="BI12" s="228">
        <v>44708</v>
      </c>
      <c r="BJ12" s="228">
        <v>48684</v>
      </c>
      <c r="BK12" s="228">
        <v>42031</v>
      </c>
      <c r="BL12" s="228">
        <v>61106</v>
      </c>
      <c r="BM12" s="228">
        <v>38482</v>
      </c>
      <c r="BN12" s="228">
        <v>26588</v>
      </c>
      <c r="BO12" s="228">
        <v>17195</v>
      </c>
      <c r="BP12" s="228">
        <v>22844</v>
      </c>
      <c r="BQ12" s="228">
        <v>14186</v>
      </c>
      <c r="BR12" s="228">
        <v>34071</v>
      </c>
      <c r="BS12" s="228">
        <v>38813</v>
      </c>
      <c r="BT12" s="228">
        <v>45727</v>
      </c>
      <c r="BU12" s="228">
        <v>40246</v>
      </c>
      <c r="BV12" s="228">
        <v>48951</v>
      </c>
      <c r="BW12" s="228">
        <v>32988</v>
      </c>
      <c r="BX12" s="228">
        <v>48488</v>
      </c>
      <c r="BY12" s="228">
        <v>45594</v>
      </c>
      <c r="BZ12" s="228">
        <v>38213</v>
      </c>
      <c r="CA12" s="228">
        <v>37438</v>
      </c>
      <c r="CB12" s="228">
        <v>10999</v>
      </c>
      <c r="CC12" s="228">
        <v>33696</v>
      </c>
      <c r="CD12" s="228">
        <v>35848</v>
      </c>
      <c r="CE12" s="228">
        <v>45149</v>
      </c>
      <c r="CF12" s="228">
        <v>52907</v>
      </c>
      <c r="CG12" s="228">
        <v>73323</v>
      </c>
      <c r="CH12" s="228">
        <v>51479</v>
      </c>
      <c r="CI12" s="228">
        <v>52966</v>
      </c>
      <c r="CJ12" s="228">
        <v>54273</v>
      </c>
      <c r="CK12" s="228">
        <v>57450</v>
      </c>
      <c r="CL12" s="228">
        <v>51591</v>
      </c>
      <c r="CM12" s="228">
        <v>38438</v>
      </c>
      <c r="CN12" s="228">
        <v>19897</v>
      </c>
      <c r="CO12" s="228">
        <v>37198</v>
      </c>
      <c r="CP12" s="228">
        <v>35571</v>
      </c>
      <c r="CQ12" s="228">
        <v>31580</v>
      </c>
      <c r="CR12" s="228">
        <v>40864</v>
      </c>
      <c r="CS12" s="228">
        <v>43213</v>
      </c>
      <c r="CT12" s="228">
        <v>37521</v>
      </c>
      <c r="CU12" s="292">
        <v>29951</v>
      </c>
      <c r="CV12" s="292">
        <v>37142</v>
      </c>
      <c r="CW12" s="292">
        <v>46061</v>
      </c>
      <c r="CX12" s="229">
        <v>50793</v>
      </c>
      <c r="CY12" s="269"/>
    </row>
    <row r="13" spans="1:103" ht="14.4" thickBot="1">
      <c r="A13"/>
      <c r="B13"/>
      <c r="C13" s="230" t="s">
        <v>129</v>
      </c>
      <c r="D13" s="231">
        <v>-17053</v>
      </c>
      <c r="E13" s="231">
        <v>-23020</v>
      </c>
      <c r="F13" s="231">
        <v>-23407</v>
      </c>
      <c r="G13" s="231">
        <v>-11987</v>
      </c>
      <c r="H13" s="231">
        <v>-6137</v>
      </c>
      <c r="I13" s="231">
        <v>-10110</v>
      </c>
      <c r="J13" s="231">
        <v>-9392</v>
      </c>
      <c r="K13" s="231">
        <v>-12959</v>
      </c>
      <c r="L13" s="231">
        <v>-13354</v>
      </c>
      <c r="M13" s="231">
        <v>-14389</v>
      </c>
      <c r="N13" s="231">
        <v>-15685</v>
      </c>
      <c r="O13" s="231">
        <v>-8846</v>
      </c>
      <c r="P13" s="231">
        <v>-18403</v>
      </c>
      <c r="Q13" s="231">
        <v>-19585</v>
      </c>
      <c r="R13" s="231">
        <v>-21234</v>
      </c>
      <c r="S13" s="231">
        <v>-25043</v>
      </c>
      <c r="T13" s="231">
        <v>-15064</v>
      </c>
      <c r="U13" s="231">
        <v>-7885</v>
      </c>
      <c r="V13" s="231">
        <v>-16264</v>
      </c>
      <c r="W13" s="231">
        <v>-15821</v>
      </c>
      <c r="X13" s="231">
        <v>-13389</v>
      </c>
      <c r="Y13" s="231">
        <v>-25977</v>
      </c>
      <c r="Z13" s="231">
        <v>-26332</v>
      </c>
      <c r="AA13" s="231">
        <v>-23043</v>
      </c>
      <c r="AB13" s="231">
        <v>-39657</v>
      </c>
      <c r="AC13" s="231">
        <v>-22745</v>
      </c>
      <c r="AD13" s="231">
        <v>-27333</v>
      </c>
      <c r="AE13" s="231">
        <v>-4635</v>
      </c>
      <c r="AF13" s="231">
        <v>-8098</v>
      </c>
      <c r="AG13" s="231">
        <v>-20234</v>
      </c>
      <c r="AH13" s="231">
        <v>-18166</v>
      </c>
      <c r="AI13" s="231">
        <v>-13980</v>
      </c>
      <c r="AJ13" s="231">
        <v>-24144</v>
      </c>
      <c r="AK13" s="231">
        <v>-22684</v>
      </c>
      <c r="AL13" s="231">
        <v>-27243</v>
      </c>
      <c r="AM13" s="231">
        <v>-22008</v>
      </c>
      <c r="AN13" s="231">
        <v>-41786</v>
      </c>
      <c r="AO13" s="231">
        <v>-28661</v>
      </c>
      <c r="AP13" s="231">
        <v>-39615</v>
      </c>
      <c r="AQ13" s="231">
        <v>-15220</v>
      </c>
      <c r="AR13" s="231">
        <v>-7320</v>
      </c>
      <c r="AS13" s="231">
        <v>-18182</v>
      </c>
      <c r="AT13" s="231">
        <v>-18690</v>
      </c>
      <c r="AU13" s="231">
        <v>-23672</v>
      </c>
      <c r="AV13" s="231">
        <v>-32120</v>
      </c>
      <c r="AW13" s="231">
        <v>-39086</v>
      </c>
      <c r="AX13" s="231">
        <v>-36496</v>
      </c>
      <c r="AY13" s="231">
        <v>-42368</v>
      </c>
      <c r="AZ13" s="231">
        <v>-40068</v>
      </c>
      <c r="BA13" s="231">
        <v>-60313</v>
      </c>
      <c r="BB13" s="231">
        <v>-47802</v>
      </c>
      <c r="BC13" s="231">
        <v>-54513</v>
      </c>
      <c r="BD13" s="231">
        <v>-27144</v>
      </c>
      <c r="BE13" s="231">
        <v>-35299</v>
      </c>
      <c r="BF13" s="231">
        <v>-24368</v>
      </c>
      <c r="BG13" s="231">
        <v>-28063</v>
      </c>
      <c r="BH13" s="231">
        <v>-41244</v>
      </c>
      <c r="BI13" s="231">
        <v>-44258</v>
      </c>
      <c r="BJ13" s="231">
        <v>-48249</v>
      </c>
      <c r="BK13" s="231">
        <v>-43329</v>
      </c>
      <c r="BL13" s="231">
        <v>-60784</v>
      </c>
      <c r="BM13" s="231">
        <v>-38227</v>
      </c>
      <c r="BN13" s="231">
        <v>-27760</v>
      </c>
      <c r="BO13" s="231">
        <v>-17025</v>
      </c>
      <c r="BP13" s="231">
        <v>-22658</v>
      </c>
      <c r="BQ13" s="231">
        <v>-14431</v>
      </c>
      <c r="BR13" s="231">
        <v>-33843</v>
      </c>
      <c r="BS13" s="231">
        <v>-38564</v>
      </c>
      <c r="BT13" s="231">
        <v>-48466</v>
      </c>
      <c r="BU13" s="231">
        <v>-39707</v>
      </c>
      <c r="BV13" s="231">
        <v>-47749</v>
      </c>
      <c r="BW13" s="231">
        <v>-33332</v>
      </c>
      <c r="BX13" s="231">
        <v>-48377</v>
      </c>
      <c r="BY13" s="231">
        <v>-45330</v>
      </c>
      <c r="BZ13" s="231">
        <v>-40285</v>
      </c>
      <c r="CA13" s="231">
        <v>-36801</v>
      </c>
      <c r="CB13" s="231">
        <v>-10311</v>
      </c>
      <c r="CC13" s="231">
        <v>-34541</v>
      </c>
      <c r="CD13" s="231">
        <v>-35470</v>
      </c>
      <c r="CE13" s="231">
        <v>-44648</v>
      </c>
      <c r="CF13" s="231">
        <v>-54679</v>
      </c>
      <c r="CG13" s="231">
        <v>-72864</v>
      </c>
      <c r="CH13" s="231">
        <v>-50611</v>
      </c>
      <c r="CI13" s="231">
        <v>-50721</v>
      </c>
      <c r="CJ13" s="231">
        <v>-55492</v>
      </c>
      <c r="CK13" s="231">
        <v>-57476</v>
      </c>
      <c r="CL13" s="231">
        <v>-52627</v>
      </c>
      <c r="CM13" s="231">
        <v>-37481</v>
      </c>
      <c r="CN13" s="231">
        <v>-19040</v>
      </c>
      <c r="CO13" s="231">
        <v>-35921</v>
      </c>
      <c r="CP13" s="231">
        <v>-34221</v>
      </c>
      <c r="CQ13" s="231">
        <v>-30737</v>
      </c>
      <c r="CR13" s="231">
        <v>-39879</v>
      </c>
      <c r="CS13" s="231">
        <v>-42362</v>
      </c>
      <c r="CT13" s="231">
        <v>-36521</v>
      </c>
      <c r="CU13" s="231">
        <v>-29335</v>
      </c>
      <c r="CV13" s="231">
        <v>-37355</v>
      </c>
      <c r="CW13" s="231">
        <v>-44842</v>
      </c>
      <c r="CX13" s="232">
        <v>-50075</v>
      </c>
      <c r="CY13" s="269"/>
    </row>
    <row r="14" spans="1:103">
      <c r="A14"/>
      <c r="B14"/>
      <c r="C14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 s="269"/>
      <c r="CX14" s="269"/>
      <c r="CY14" s="269"/>
    </row>
    <row r="15" spans="1:103">
      <c r="A15"/>
      <c r="B15"/>
      <c r="C15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 s="269"/>
      <c r="CX15" s="269"/>
      <c r="CY15" s="269"/>
    </row>
    <row r="16" spans="1:103">
      <c r="A16"/>
      <c r="B16"/>
      <c r="C16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 s="269"/>
      <c r="CX16" s="269"/>
      <c r="CY16" s="269"/>
    </row>
    <row r="17" spans="1:103">
      <c r="A17"/>
      <c r="B17"/>
      <c r="C17"/>
      <c r="D17" s="222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 s="222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 s="269"/>
      <c r="CX17" s="269"/>
      <c r="CY17" s="269"/>
    </row>
    <row r="18" spans="1:10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 s="269"/>
      <c r="CX18" s="269"/>
      <c r="CY18" s="269"/>
    </row>
    <row r="19" spans="1:10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 s="269"/>
      <c r="CX19" s="269"/>
      <c r="CY19" s="269"/>
    </row>
    <row r="20" spans="1:10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 s="269"/>
      <c r="CX20" s="269"/>
      <c r="CY20" s="269"/>
    </row>
  </sheetData>
  <phoneticPr fontId="23" type="noConversion"/>
  <pageMargins left="0.7" right="0.7" top="0.75" bottom="0.75" header="0.3" footer="0.3"/>
  <pageSetup paperSize="9" scale="24" orientation="portrait" r:id="rId1"/>
</worksheet>
</file>

<file path=docMetadata/LabelInfo.xml><?xml version="1.0" encoding="utf-8"?>
<clbl:labelList xmlns:clbl="http://schemas.microsoft.com/office/2020/mipLabelMetadata">
  <clbl:label id="{140058b6-c702-467d-bff9-8200845fa0cd}" enabled="0" method="" siteId="{140058b6-c702-467d-bff9-8200845fa0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Bilans Grupy AP</vt:lpstr>
      <vt:lpstr>RZiS Grupy AP</vt:lpstr>
      <vt:lpstr>Cash flow Grupy AP</vt:lpstr>
      <vt:lpstr>sprzedaż miesięczna</vt:lpstr>
      <vt:lpstr>'RZiS Grupy AP'!Obszar_wydruku</vt:lpstr>
      <vt:lpstr>'sprzedaż miesięczna'!Obszar_wydruku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Przemysław Dudek</cp:lastModifiedBy>
  <cp:lastPrinted>2012-02-20T09:39:36Z</cp:lastPrinted>
  <dcterms:created xsi:type="dcterms:W3CDTF">2012-02-09T13:26:38Z</dcterms:created>
  <dcterms:modified xsi:type="dcterms:W3CDTF">2026-05-21T11:49:15Z</dcterms:modified>
</cp:coreProperties>
</file>